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28" activeTab="0"/>
  </bookViews>
  <sheets>
    <sheet name="Income Stt" sheetId="1" r:id="rId1"/>
    <sheet name="Balance Sheet" sheetId="2" r:id="rId2"/>
    <sheet name="Changes in Equity" sheetId="3" r:id="rId3"/>
    <sheet name="Cash Flow Stt" sheetId="4" r:id="rId4"/>
  </sheets>
  <definedNames>
    <definedName name="_xlnm.Print_Area" localSheetId="1">'Balance Sheet'!$A$1:$D$62</definedName>
    <definedName name="_xlnm.Print_Area" localSheetId="3">'Cash Flow Stt'!$A$1:$D$64</definedName>
    <definedName name="_xlnm.Print_Area" localSheetId="2">'Changes in Equity'!$A$1:$H$39</definedName>
    <definedName name="_xlnm.Print_Area" localSheetId="0">'Income Stt'!$A$1:$G$43</definedName>
  </definedNames>
  <calcPr fullCalcOnLoad="1"/>
</workbook>
</file>

<file path=xl/sharedStrings.xml><?xml version="1.0" encoding="utf-8"?>
<sst xmlns="http://schemas.openxmlformats.org/spreadsheetml/2006/main" count="160" uniqueCount="128">
  <si>
    <t>3 months ended</t>
  </si>
  <si>
    <t>RM '000</t>
  </si>
  <si>
    <t>Revenue</t>
  </si>
  <si>
    <t>Cost of Sales</t>
  </si>
  <si>
    <t>Gross Profit</t>
  </si>
  <si>
    <t>Profit before tax</t>
  </si>
  <si>
    <t>Income tax expense</t>
  </si>
  <si>
    <t>Profit for the period</t>
  </si>
  <si>
    <t>As at</t>
  </si>
  <si>
    <t>ASSETS</t>
  </si>
  <si>
    <t>Non-Current Assets</t>
  </si>
  <si>
    <t>Property, plant and equipment</t>
  </si>
  <si>
    <t>Deferred tax assets</t>
  </si>
  <si>
    <t>Current Assets</t>
  </si>
  <si>
    <t>Inventories</t>
  </si>
  <si>
    <t>Trade receivables</t>
  </si>
  <si>
    <t>Other receivables</t>
  </si>
  <si>
    <t>TOTAL ASSETS</t>
  </si>
  <si>
    <t>EQUITY AND LIABILITIES</t>
  </si>
  <si>
    <t>Share capital</t>
  </si>
  <si>
    <t>Share premium</t>
  </si>
  <si>
    <t>Other reserves</t>
  </si>
  <si>
    <t>Retained earnings</t>
  </si>
  <si>
    <t>Total Equity</t>
  </si>
  <si>
    <t>Provisions for other liabilities</t>
  </si>
  <si>
    <t>Deferred tax liabilites</t>
  </si>
  <si>
    <t>Current Liabilities</t>
  </si>
  <si>
    <t>Trade payables</t>
  </si>
  <si>
    <t>Other payables</t>
  </si>
  <si>
    <t>Current tax payable</t>
  </si>
  <si>
    <t>Dividends payable</t>
  </si>
  <si>
    <t>Total Liabilities</t>
  </si>
  <si>
    <r>
      <t xml:space="preserve">PADINI HOLDINGS BERHAD </t>
    </r>
    <r>
      <rPr>
        <b/>
        <u val="single"/>
        <sz val="8"/>
        <rFont val="Arial Narrow"/>
        <family val="2"/>
      </rPr>
      <t>(Company No.: 50202-A)</t>
    </r>
  </si>
  <si>
    <t>Distributable</t>
  </si>
  <si>
    <t>Net Asset per share (in RM)</t>
  </si>
  <si>
    <t>Diluted earnings is not applicable for the Group.</t>
  </si>
  <si>
    <t>Intangible assets</t>
  </si>
  <si>
    <t>CASH FLOW FROM OPERATING ACTIVITIES</t>
  </si>
  <si>
    <t>Adjustments for:</t>
  </si>
  <si>
    <t>Receivables</t>
  </si>
  <si>
    <t>Payables</t>
  </si>
  <si>
    <t>Interest expense</t>
  </si>
  <si>
    <t>CASH FLOW FROM INVESTING ACTIVITIES</t>
  </si>
  <si>
    <t>Interest income</t>
  </si>
  <si>
    <t>CASH FLOW FROM FINANCING ACTIVITIES</t>
  </si>
  <si>
    <t>Changes in short term borrowings</t>
  </si>
  <si>
    <t>Effect of exchange rate changes</t>
  </si>
  <si>
    <t>Cash and cash equivalents b/f</t>
  </si>
  <si>
    <t>Cash and cash equivalents c/f</t>
  </si>
  <si>
    <t>Foreign currency translation</t>
  </si>
  <si>
    <t>Total comprehensive income for the financial period</t>
  </si>
  <si>
    <t>Profit attributable to:</t>
  </si>
  <si>
    <t>Owners of the parent</t>
  </si>
  <si>
    <t>Total comprehensive income attributable to:</t>
  </si>
  <si>
    <t>Investment in club membership</t>
  </si>
  <si>
    <t>Available for sale equity instruments</t>
  </si>
  <si>
    <t>Net cash generated from operations</t>
  </si>
  <si>
    <t>Net cash used in financing activities</t>
  </si>
  <si>
    <t>Financial assets at fair value through profit and loss</t>
  </si>
  <si>
    <t>Net increase / (decrease) in cash and cash equivalents</t>
  </si>
  <si>
    <t>UNAUDITED CONDENSED CONSOLIDATED STATEMENT OF CHANGES IN EQUITY</t>
  </si>
  <si>
    <t>UNAUDITED CONDENSED CONSOLIDATED STATEMENT OF CASH FLOWS</t>
  </si>
  <si>
    <t>Current tax assets</t>
  </si>
  <si>
    <t>Equity attributable to owners of the parent</t>
  </si>
  <si>
    <t>Non-Current Liabilities</t>
  </si>
  <si>
    <t>UNAUDITED CONDENSED CONSOLIDATED STATEMENT OF PROFIT AND LOSS AND OTHER COMPREHENSIVE INCOME</t>
  </si>
  <si>
    <t>Other Income</t>
  </si>
  <si>
    <t>Selling and distribution costs</t>
  </si>
  <si>
    <t>Finance costs</t>
  </si>
  <si>
    <t>Dividends paid</t>
  </si>
  <si>
    <t>Administrative expenses</t>
  </si>
  <si>
    <t>Foreign currency translations</t>
  </si>
  <si>
    <t>Items that may be reclassified subsequently to profit and loss:</t>
  </si>
  <si>
    <t>Other comprehensive income, net of tax</t>
  </si>
  <si>
    <t>Earnings per ordinary share attributable to owners of the parent:</t>
  </si>
  <si>
    <t>Basic</t>
  </si>
  <si>
    <t>Investment property</t>
  </si>
  <si>
    <t>Loans and borrowings</t>
  </si>
  <si>
    <t>Provision for restoration cost</t>
  </si>
  <si>
    <t>TOTAL EQUITY AND LIABILITIES</t>
  </si>
  <si>
    <t>Profit for the financial year</t>
  </si>
  <si>
    <t>Total comprehensive income</t>
  </si>
  <si>
    <t>Transactions with owners</t>
  </si>
  <si>
    <t>Total transactions with owners</t>
  </si>
  <si>
    <t>Effect of the adoption of MFRS 1</t>
  </si>
  <si>
    <t>Foreign exchange reserves</t>
  </si>
  <si>
    <t>Attributable to owners of the parent</t>
  </si>
  <si>
    <t>Total equity</t>
  </si>
  <si>
    <t>Non-distributable</t>
  </si>
  <si>
    <t>Amortisation of intangible assets</t>
  </si>
  <si>
    <t>Changes in fair value of investment property</t>
  </si>
  <si>
    <t>Dividend income</t>
  </si>
  <si>
    <t>Unrealised (gain)/loss on foreign exchange</t>
  </si>
  <si>
    <t>Property, plant and equipment written off</t>
  </si>
  <si>
    <t>Depreciation of property, plant and equipment</t>
  </si>
  <si>
    <t>Inventory loss</t>
  </si>
  <si>
    <t>Inventories written off</t>
  </si>
  <si>
    <t>Inventories written down to net realisable value</t>
  </si>
  <si>
    <t>Operating profit before changes in working capital</t>
  </si>
  <si>
    <t>Interest paid</t>
  </si>
  <si>
    <t>Tax paid</t>
  </si>
  <si>
    <t>Net cash from operating activities</t>
  </si>
  <si>
    <t>Proceeds from disposal of financial assets at fair value through profit or loss</t>
  </si>
  <si>
    <t>Interest received</t>
  </si>
  <si>
    <t>Purchase of  property, plant and equipment and intangible assets</t>
  </si>
  <si>
    <t>Repayments of term loans</t>
  </si>
  <si>
    <t>Repayments of hire purchases and lease creditors</t>
  </si>
  <si>
    <t>Balance as at 1 July 2013</t>
  </si>
  <si>
    <t>Available for sale reserves</t>
  </si>
  <si>
    <t>Restoration Finance Cost</t>
  </si>
  <si>
    <t>Cash and bank balances</t>
  </si>
  <si>
    <t>UNAUDITED CONDENSED CONSOLIDATED STATEMENT OF FINANCIAL POSITION</t>
  </si>
  <si>
    <t>The unaudited condensed consolidated statements of profit or loss and other comprehensive income should be read in conjunction with the audited financial statements for the financial year ended 30 June 2014 and the accompanying explanatory notes attached to the interim financial statements.</t>
  </si>
  <si>
    <t>Balance as at 1 July 2014</t>
  </si>
  <si>
    <t>The unaudited condensed consolidated statement of financial position should be read in conjunction with the audited financial statements for the financial year ended 30 June 2014 and the accompanying explanatory notes attached to the interim financial statements.</t>
  </si>
  <si>
    <t>The unaudited condensed consolidated statement of cash flows should be read in conjunction with the audited financial statements for the financial year ended 30 June 2014 and the accompanying explanatory notes attached to the interim financial statements.</t>
  </si>
  <si>
    <t>Fair value (gain) / loss on financial assets at fair value through profit or loss</t>
  </si>
  <si>
    <t>(Gain) on disposal of Investment</t>
  </si>
  <si>
    <t>The unaudited condensed consolidated statement of changes in equity should be read in conjunction with the audited financial statements for the financial year ended 30 June 2014 and the accompanying explanatory notes attached to the interim financial statements.</t>
  </si>
  <si>
    <t>Proceeds from disposal of property, plant and equipment</t>
  </si>
  <si>
    <t>Net cash generated/ (used) in investing activities</t>
  </si>
  <si>
    <t>Date : 19 · 05 · 2015</t>
  </si>
  <si>
    <t>FOR THE FINANCIAL QUARTER ENDED 31 MARCH 2015</t>
  </si>
  <si>
    <t>9 months ended</t>
  </si>
  <si>
    <t>FOR THE FINANCIAL PERIOD ENDED 31 MARCH 2015</t>
  </si>
  <si>
    <t>Balance as at 31 March 2015</t>
  </si>
  <si>
    <t>Balance as at 31 March 2014</t>
  </si>
  <si>
    <t>Tax refunded</t>
  </si>
</sst>
</file>

<file path=xl/styles.xml><?xml version="1.0" encoding="utf-8"?>
<styleSheet xmlns="http://schemas.openxmlformats.org/spreadsheetml/2006/main">
  <numFmts count="4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dddd\,\ mmmm\ dd\,\ yyyy"/>
    <numFmt numFmtId="171" formatCode="[$-409]dd\ mmmm\ yyyy;@"/>
    <numFmt numFmtId="172" formatCode="_(* #,##0.0_);_(* \(#,##0.0\);_(* &quot;-&quot;??_);_(@_)"/>
    <numFmt numFmtId="173" formatCode="_(* #,##0_);_(* \(#,##0\);_(* &quot;-&quot;??_);_(@_)"/>
    <numFmt numFmtId="174" formatCode="#,##0.00\ [$sen-41B]"/>
    <numFmt numFmtId="175" formatCode="_(* #,##0.00_ [$sen-41B]\);_(* \(#,##0.00\ [$sen-41B]\);_(* &quot;-&quot;??_ [$sen-41B]\);_(@_)"/>
    <numFmt numFmtId="176" formatCode="_(* #,##0.00_ \)\ [$sen-41B];_(* \(#,##0.00\)\ [$sen-41B];_(* &quot;-&quot;??_)\ [$sen-41B];_(@_)"/>
    <numFmt numFmtId="177" formatCode="_(* #,##0.00_ \ [$sen-41B];_(* \(#,##0.00\)\ [$sen-41B];_(* &quot;-&quot;??_)\ [$sen-41B];_(@_)"/>
    <numFmt numFmtId="178" formatCode="0.0%"/>
    <numFmt numFmtId="179" formatCode="_(* #,##0.000_);_(* \(#,##0.000\);_(* &quot;-&quot;??_);_(@_)"/>
    <numFmt numFmtId="180" formatCode="_(* #,##0.0000_);_(* \(#,##0.0000\);_(* &quot;-&quot;??_);_(@_)"/>
    <numFmt numFmtId="181" formatCode="_(* #,##0.0_);_(* \(#,##0.0\);_(* &quot;-&quot;?_);_(@_)"/>
    <numFmt numFmtId="182" formatCode="[$-409]h:mm:ss\ AM/PM"/>
    <numFmt numFmtId="183" formatCode="[$-F800]dddd\,\ mmmm\ dd\,\ yyyy"/>
    <numFmt numFmtId="184" formatCode="[$-409]d\-mmm\-yy;@"/>
    <numFmt numFmtId="185" formatCode="_(* #,##0.000_);_(* \(#,##0.000\);_(* &quot;-&quot;???_);_(@_)"/>
    <numFmt numFmtId="186" formatCode="_(* #,##0.0000_);_(* \(#,##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0_);[Red]\(#,##0\);_(* &quot;-&quot;_);_(@_)"/>
    <numFmt numFmtId="192" formatCode="_(* #,##0.000_ \ [$sen-41B];_(* \(#,##0.000\)\ [$sen-41B];_(* &quot;-&quot;??_)\ [$sen-41B];_(@_)"/>
    <numFmt numFmtId="193" formatCode="_(* #,##0.0000_ \ [$sen-41B];_(* \(#,##0.0000\)\ [$sen-41B];_(* &quot;-&quot;??_)\ [$sen-41B];_(@_)"/>
    <numFmt numFmtId="194" formatCode="_(* #,##0.00000_ \ [$sen-41B];_(* \(#,##0.00000\)\ [$sen-41B];_(* &quot;-&quot;??_)\ [$sen-41B];_(@_)"/>
    <numFmt numFmtId="195" formatCode="_(* #,##0.000000_ \ [$sen-41B];_(* \(#,##0.000000\)\ [$sen-41B];_(* &quot;-&quot;??_)\ [$sen-41B];_(@_)"/>
  </numFmts>
  <fonts count="45">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8">
    <xf numFmtId="0" fontId="0" fillId="0" borderId="0" xfId="0" applyAlignment="1">
      <alignmen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7" fillId="0" borderId="0" xfId="0" applyFont="1" applyFill="1" applyAlignment="1">
      <alignment/>
    </xf>
    <xf numFmtId="43" fontId="2" fillId="0" borderId="0" xfId="42" applyFont="1" applyFill="1" applyAlignment="1">
      <alignment horizontal="center"/>
    </xf>
    <xf numFmtId="0" fontId="2" fillId="0" borderId="0" xfId="0" applyFont="1" applyFill="1" applyAlignment="1">
      <alignment horizontal="center" wrapText="1"/>
    </xf>
    <xf numFmtId="43" fontId="2" fillId="0" borderId="0" xfId="42" applyFont="1" applyFill="1" applyAlignment="1">
      <alignment horizontal="center" wrapText="1"/>
    </xf>
    <xf numFmtId="173" fontId="2" fillId="0" borderId="0" xfId="42" applyNumberFormat="1" applyFont="1" applyFill="1" applyAlignment="1">
      <alignment/>
    </xf>
    <xf numFmtId="0" fontId="2" fillId="0" borderId="0" xfId="0" applyFont="1" applyFill="1" applyAlignment="1">
      <alignment/>
    </xf>
    <xf numFmtId="173" fontId="2" fillId="0" borderId="10" xfId="42" applyNumberFormat="1" applyFont="1" applyFill="1" applyBorder="1" applyAlignment="1">
      <alignment/>
    </xf>
    <xf numFmtId="171" fontId="2" fillId="0" borderId="0" xfId="42" applyNumberFormat="1" applyFont="1" applyFill="1" applyAlignment="1">
      <alignment horizontal="center"/>
    </xf>
    <xf numFmtId="43" fontId="5" fillId="0" borderId="0" xfId="42" applyFont="1" applyFill="1" applyAlignment="1">
      <alignment horizontal="center"/>
    </xf>
    <xf numFmtId="9" fontId="8" fillId="0" borderId="0" xfId="58" applyFont="1" applyFill="1" applyAlignment="1">
      <alignment/>
    </xf>
    <xf numFmtId="173" fontId="8" fillId="0" borderId="0" xfId="42" applyNumberFormat="1" applyFont="1" applyFill="1" applyAlignment="1">
      <alignment/>
    </xf>
    <xf numFmtId="0" fontId="3" fillId="0" borderId="0" xfId="0" applyFont="1" applyFill="1" applyAlignment="1">
      <alignment/>
    </xf>
    <xf numFmtId="173" fontId="2" fillId="0" borderId="11" xfId="42" applyNumberFormat="1" applyFont="1" applyFill="1" applyBorder="1" applyAlignment="1">
      <alignment/>
    </xf>
    <xf numFmtId="0" fontId="0" fillId="0" borderId="0" xfId="0" applyFont="1" applyFill="1" applyAlignment="1">
      <alignment/>
    </xf>
    <xf numFmtId="43" fontId="2" fillId="0" borderId="0" xfId="42" applyFont="1" applyFill="1" applyAlignment="1">
      <alignment horizontal="center" vertical="top"/>
    </xf>
    <xf numFmtId="173" fontId="2" fillId="0" borderId="12" xfId="42" applyNumberFormat="1" applyFont="1" applyFill="1" applyBorder="1" applyAlignment="1">
      <alignment vertical="center"/>
    </xf>
    <xf numFmtId="43" fontId="7" fillId="0" borderId="0" xfId="42" applyFont="1" applyFill="1" applyAlignment="1">
      <alignment horizontal="center" vertical="center"/>
    </xf>
    <xf numFmtId="171" fontId="7" fillId="0" borderId="0" xfId="42" applyNumberFormat="1" applyFont="1" applyFill="1" applyAlignment="1">
      <alignment horizontal="center" vertical="center"/>
    </xf>
    <xf numFmtId="0" fontId="2"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Alignment="1">
      <alignment horizontal="center"/>
    </xf>
    <xf numFmtId="0" fontId="8" fillId="0" borderId="0" xfId="0" applyFont="1" applyFill="1" applyAlignment="1">
      <alignment/>
    </xf>
    <xf numFmtId="0" fontId="0" fillId="0" borderId="0" xfId="0" applyFont="1" applyFill="1" applyAlignment="1">
      <alignment horizontal="left" indent="1"/>
    </xf>
    <xf numFmtId="0" fontId="5" fillId="0" borderId="0" xfId="0" applyFont="1" applyFill="1" applyAlignment="1">
      <alignment/>
    </xf>
    <xf numFmtId="173" fontId="2" fillId="0" borderId="13" xfId="42" applyNumberFormat="1" applyFont="1" applyFill="1" applyBorder="1" applyAlignment="1">
      <alignment/>
    </xf>
    <xf numFmtId="173" fontId="2" fillId="0" borderId="0" xfId="42" applyNumberFormat="1" applyFont="1" applyFill="1" applyBorder="1" applyAlignment="1">
      <alignment/>
    </xf>
    <xf numFmtId="173" fontId="2" fillId="0" borderId="14" xfId="42" applyNumberFormat="1" applyFont="1" applyFill="1" applyBorder="1" applyAlignment="1">
      <alignment vertical="center"/>
    </xf>
    <xf numFmtId="43" fontId="7" fillId="0" borderId="0" xfId="42" applyFont="1" applyFill="1" applyAlignment="1">
      <alignment horizontal="center"/>
    </xf>
    <xf numFmtId="0" fontId="2" fillId="0" borderId="0" xfId="0" applyFont="1" applyFill="1" applyAlignment="1">
      <alignment horizontal="left"/>
    </xf>
    <xf numFmtId="173" fontId="2" fillId="0" borderId="15" xfId="42" applyNumberFormat="1" applyFont="1" applyFill="1" applyBorder="1" applyAlignment="1">
      <alignment/>
    </xf>
    <xf numFmtId="0" fontId="2" fillId="0" borderId="0" xfId="0" applyFont="1" applyFill="1" applyAlignment="1">
      <alignment vertical="center"/>
    </xf>
    <xf numFmtId="173" fontId="2" fillId="0" borderId="0" xfId="42" applyNumberFormat="1" applyFont="1" applyFill="1" applyAlignment="1">
      <alignment vertical="center"/>
    </xf>
    <xf numFmtId="0" fontId="0" fillId="0" borderId="16" xfId="0" applyFont="1" applyFill="1" applyBorder="1" applyAlignment="1">
      <alignment horizontal="left" vertical="center" wrapText="1"/>
    </xf>
    <xf numFmtId="173" fontId="2" fillId="0" borderId="10" xfId="42" applyNumberFormat="1" applyFont="1" applyFill="1" applyBorder="1" applyAlignment="1">
      <alignment vertical="center"/>
    </xf>
    <xf numFmtId="173" fontId="2" fillId="0" borderId="0" xfId="42" applyNumberFormat="1" applyFont="1" applyFill="1" applyBorder="1" applyAlignment="1">
      <alignment vertical="center"/>
    </xf>
    <xf numFmtId="0" fontId="2" fillId="0" borderId="0" xfId="0" applyFont="1" applyFill="1" applyAlignment="1">
      <alignment/>
    </xf>
    <xf numFmtId="0" fontId="2" fillId="0" borderId="0" xfId="0" applyFont="1" applyFill="1" applyAlignment="1">
      <alignment horizontal="left" wrapText="1"/>
    </xf>
    <xf numFmtId="0" fontId="0" fillId="0" borderId="0" xfId="0" applyFont="1" applyFill="1" applyAlignment="1">
      <alignment horizontal="left" wrapText="1"/>
    </xf>
    <xf numFmtId="173" fontId="2" fillId="0" borderId="10" xfId="42" applyNumberFormat="1" applyFont="1" applyFill="1" applyBorder="1" applyAlignment="1">
      <alignment horizontal="center" vertical="center"/>
    </xf>
    <xf numFmtId="173" fontId="2" fillId="0" borderId="0" xfId="42" applyNumberFormat="1" applyFont="1" applyFill="1" applyBorder="1" applyAlignment="1">
      <alignment horizontal="center" vertical="center"/>
    </xf>
    <xf numFmtId="173" fontId="0" fillId="0" borderId="0" xfId="42" applyNumberFormat="1" applyFont="1" applyFill="1" applyAlignment="1">
      <alignment/>
    </xf>
    <xf numFmtId="43" fontId="0" fillId="0" borderId="0" xfId="42" applyFont="1" applyFill="1" applyAlignment="1">
      <alignment/>
    </xf>
    <xf numFmtId="173" fontId="0" fillId="0" borderId="17" xfId="42" applyNumberFormat="1" applyFont="1" applyFill="1" applyBorder="1" applyAlignment="1">
      <alignment/>
    </xf>
    <xf numFmtId="173" fontId="0" fillId="0" borderId="0" xfId="42" applyNumberFormat="1" applyFont="1" applyFill="1" applyBorder="1" applyAlignment="1">
      <alignment/>
    </xf>
    <xf numFmtId="177" fontId="0" fillId="0" borderId="0" xfId="42" applyNumberFormat="1" applyFont="1" applyFill="1" applyAlignment="1">
      <alignment/>
    </xf>
    <xf numFmtId="43" fontId="0" fillId="0" borderId="0" xfId="42" applyFont="1" applyFill="1" applyBorder="1" applyAlignment="1">
      <alignment/>
    </xf>
    <xf numFmtId="177" fontId="0" fillId="0" borderId="0" xfId="42" applyNumberFormat="1" applyFont="1" applyFill="1" applyBorder="1" applyAlignment="1">
      <alignment/>
    </xf>
    <xf numFmtId="0" fontId="0" fillId="0" borderId="0" xfId="0" applyFont="1" applyFill="1" applyAlignment="1">
      <alignment horizontal="center"/>
    </xf>
    <xf numFmtId="173" fontId="0" fillId="0" borderId="17" xfId="42" applyNumberFormat="1" applyFont="1" applyFill="1" applyBorder="1" applyAlignment="1">
      <alignment vertical="center"/>
    </xf>
    <xf numFmtId="0" fontId="0" fillId="0" borderId="0" xfId="0" applyFont="1" applyFill="1" applyAlignment="1">
      <alignment vertical="center"/>
    </xf>
    <xf numFmtId="43" fontId="0" fillId="0" borderId="0" xfId="42" applyFont="1" applyFill="1" applyAlignment="1">
      <alignment horizontal="center"/>
    </xf>
    <xf numFmtId="0" fontId="0" fillId="0" borderId="0" xfId="0" applyFont="1" applyFill="1" applyAlignment="1">
      <alignment horizontal="center" wrapText="1"/>
    </xf>
    <xf numFmtId="43" fontId="0" fillId="0" borderId="0" xfId="42" applyFont="1" applyFill="1" applyAlignment="1">
      <alignment horizontal="center" wrapText="1"/>
    </xf>
    <xf numFmtId="173" fontId="0" fillId="0" borderId="0" xfId="42" applyNumberFormat="1" applyFont="1" applyFill="1" applyAlignment="1">
      <alignment vertical="center"/>
    </xf>
    <xf numFmtId="43" fontId="0" fillId="0" borderId="0" xfId="42" applyFont="1" applyFill="1" applyAlignment="1">
      <alignment vertical="center"/>
    </xf>
    <xf numFmtId="0" fontId="0" fillId="0" borderId="13" xfId="0" applyFont="1" applyFill="1" applyBorder="1" applyAlignment="1">
      <alignment vertical="center"/>
    </xf>
    <xf numFmtId="173" fontId="0" fillId="0" borderId="13" xfId="42" applyNumberFormat="1" applyFont="1" applyFill="1" applyBorder="1" applyAlignment="1">
      <alignment vertical="center"/>
    </xf>
    <xf numFmtId="43" fontId="0" fillId="0" borderId="0" xfId="42" applyFont="1" applyFill="1" applyBorder="1" applyAlignment="1">
      <alignment vertical="center"/>
    </xf>
    <xf numFmtId="0" fontId="0" fillId="0" borderId="0" xfId="0" applyFont="1" applyFill="1" applyBorder="1" applyAlignment="1">
      <alignment vertical="center"/>
    </xf>
    <xf numFmtId="173" fontId="0" fillId="0" borderId="0" xfId="42" applyNumberFormat="1"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top"/>
    </xf>
    <xf numFmtId="0" fontId="2" fillId="0" borderId="0" xfId="0" applyFont="1" applyFill="1" applyAlignment="1">
      <alignment horizontal="left" vertical="top"/>
    </xf>
    <xf numFmtId="0" fontId="2" fillId="0" borderId="0" xfId="0" applyFont="1" applyFill="1" applyAlignment="1">
      <alignment vertical="top"/>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43" fontId="2" fillId="0" borderId="0" xfId="42" applyFont="1" applyFill="1" applyBorder="1" applyAlignment="1">
      <alignment vertical="center"/>
    </xf>
    <xf numFmtId="0" fontId="0" fillId="0" borderId="19" xfId="0" applyFont="1" applyFill="1" applyBorder="1" applyAlignment="1">
      <alignment horizontal="left" vertical="center" wrapText="1"/>
    </xf>
    <xf numFmtId="0" fontId="0" fillId="0" borderId="11" xfId="0" applyFont="1" applyFill="1" applyBorder="1" applyAlignment="1">
      <alignment vertical="center"/>
    </xf>
    <xf numFmtId="173" fontId="0" fillId="0" borderId="11" xfId="42" applyNumberFormat="1" applyFont="1" applyFill="1" applyBorder="1" applyAlignment="1">
      <alignment vertical="center"/>
    </xf>
    <xf numFmtId="173" fontId="2" fillId="0" borderId="20" xfId="42" applyNumberFormat="1" applyFont="1" applyFill="1" applyBorder="1" applyAlignment="1">
      <alignment vertical="center"/>
    </xf>
    <xf numFmtId="9" fontId="0" fillId="0" borderId="0" xfId="58" applyFont="1" applyFill="1" applyAlignment="1">
      <alignment/>
    </xf>
    <xf numFmtId="9" fontId="2" fillId="0" borderId="0" xfId="58" applyFont="1" applyFill="1" applyBorder="1" applyAlignment="1">
      <alignment/>
    </xf>
    <xf numFmtId="0" fontId="0" fillId="0" borderId="0" xfId="0" applyFont="1" applyFill="1" applyAlignment="1">
      <alignment wrapText="1"/>
    </xf>
    <xf numFmtId="0" fontId="0" fillId="0" borderId="0" xfId="0" applyNumberFormat="1" applyFont="1" applyFill="1" applyAlignment="1">
      <alignment/>
    </xf>
    <xf numFmtId="173" fontId="0" fillId="0" borderId="0" xfId="0" applyNumberFormat="1" applyFont="1" applyFill="1" applyAlignment="1">
      <alignment/>
    </xf>
    <xf numFmtId="0" fontId="0" fillId="0" borderId="0" xfId="0" applyNumberFormat="1" applyFont="1" applyFill="1" applyAlignment="1">
      <alignment wrapText="1"/>
    </xf>
    <xf numFmtId="173" fontId="2" fillId="0" borderId="0" xfId="0" applyNumberFormat="1" applyFont="1" applyFill="1" applyAlignment="1">
      <alignment/>
    </xf>
    <xf numFmtId="173" fontId="0" fillId="0" borderId="0" xfId="42" applyNumberFormat="1" applyFont="1" applyFill="1" applyAlignment="1">
      <alignment vertical="top"/>
    </xf>
    <xf numFmtId="173" fontId="0" fillId="0" borderId="17" xfId="42" applyNumberFormat="1" applyFont="1" applyFill="1" applyBorder="1" applyAlignment="1">
      <alignment horizontal="center" vertical="top"/>
    </xf>
    <xf numFmtId="173" fontId="0" fillId="0" borderId="0" xfId="42" applyNumberFormat="1" applyFont="1" applyFill="1" applyBorder="1" applyAlignment="1">
      <alignment horizontal="center" vertical="top"/>
    </xf>
    <xf numFmtId="173" fontId="2" fillId="0" borderId="21" xfId="42" applyNumberFormat="1" applyFont="1" applyFill="1" applyBorder="1" applyAlignment="1">
      <alignment/>
    </xf>
    <xf numFmtId="173" fontId="2" fillId="0" borderId="0" xfId="0" applyNumberFormat="1" applyFont="1" applyFill="1" applyAlignment="1">
      <alignment vertical="top"/>
    </xf>
    <xf numFmtId="179" fontId="2" fillId="0" borderId="0" xfId="42" applyNumberFormat="1" applyFont="1" applyFill="1" applyAlignment="1">
      <alignment/>
    </xf>
    <xf numFmtId="0" fontId="0" fillId="0" borderId="0" xfId="0" applyFont="1" applyFill="1" applyAlignment="1">
      <alignment horizontal="right"/>
    </xf>
    <xf numFmtId="43" fontId="2" fillId="0" borderId="0" xfId="42" applyFont="1" applyFill="1" applyAlignment="1">
      <alignment horizontal="center" vertical="top" wrapText="1"/>
    </xf>
    <xf numFmtId="43" fontId="2" fillId="0" borderId="0" xfId="42" applyFont="1" applyFill="1" applyBorder="1" applyAlignment="1">
      <alignment/>
    </xf>
    <xf numFmtId="173" fontId="2" fillId="0" borderId="17" xfId="42" applyNumberFormat="1" applyFont="1" applyFill="1" applyBorder="1" applyAlignment="1">
      <alignment vertical="top"/>
    </xf>
    <xf numFmtId="195" fontId="0" fillId="0" borderId="0" xfId="42" applyNumberFormat="1" applyFont="1" applyFill="1" applyAlignment="1">
      <alignment/>
    </xf>
    <xf numFmtId="173" fontId="2" fillId="0" borderId="17" xfId="42" applyNumberFormat="1" applyFont="1" applyFill="1" applyBorder="1" applyAlignment="1">
      <alignment vertical="center"/>
    </xf>
    <xf numFmtId="0" fontId="0" fillId="0" borderId="0" xfId="0" applyFont="1" applyFill="1" applyAlignment="1">
      <alignment horizontal="left" vertical="center"/>
    </xf>
    <xf numFmtId="173" fontId="0" fillId="0" borderId="0" xfId="42" applyNumberFormat="1" applyFont="1" applyFill="1" applyAlignment="1">
      <alignment horizontal="right"/>
    </xf>
    <xf numFmtId="173" fontId="8" fillId="0" borderId="0" xfId="42" applyNumberFormat="1" applyFont="1" applyFill="1" applyAlignment="1">
      <alignment horizontal="center"/>
    </xf>
    <xf numFmtId="43" fontId="2" fillId="0" borderId="0" xfId="42" applyFont="1" applyFill="1" applyAlignment="1">
      <alignment horizontal="center"/>
    </xf>
    <xf numFmtId="0" fontId="0" fillId="0" borderId="0" xfId="0" applyFont="1" applyFill="1" applyAlignment="1">
      <alignment horizontal="left" vertical="top" wrapText="1"/>
    </xf>
    <xf numFmtId="0" fontId="0" fillId="0" borderId="0" xfId="0" applyFont="1" applyFill="1" applyAlignment="1">
      <alignment horizontal="left" wrapText="1"/>
    </xf>
    <xf numFmtId="0" fontId="2" fillId="0" borderId="0" xfId="0" applyFont="1" applyFill="1" applyAlignment="1">
      <alignment horizontal="center" vertical="center"/>
    </xf>
    <xf numFmtId="43" fontId="2" fillId="0" borderId="0" xfId="42" applyFont="1" applyFill="1" applyAlignment="1">
      <alignment horizontal="center" vertical="center"/>
    </xf>
    <xf numFmtId="173" fontId="2" fillId="0" borderId="0" xfId="42" applyNumberFormat="1" applyFont="1" applyFill="1" applyAlignment="1">
      <alignment horizontal="center"/>
    </xf>
    <xf numFmtId="0" fontId="0" fillId="0" borderId="0" xfId="0" applyFont="1" applyFill="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5</xdr:row>
      <xdr:rowOff>57150</xdr:rowOff>
    </xdr:from>
    <xdr:to>
      <xdr:col>5</xdr:col>
      <xdr:colOff>933450</xdr:colOff>
      <xdr:row>5</xdr:row>
      <xdr:rowOff>57150</xdr:rowOff>
    </xdr:to>
    <xdr:sp>
      <xdr:nvSpPr>
        <xdr:cNvPr id="1" name="AutoShape 1"/>
        <xdr:cNvSpPr>
          <a:spLocks/>
        </xdr:cNvSpPr>
      </xdr:nvSpPr>
      <xdr:spPr>
        <a:xfrm>
          <a:off x="5972175" y="933450"/>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19050</xdr:colOff>
      <xdr:row>5</xdr:row>
      <xdr:rowOff>76200</xdr:rowOff>
    </xdr:from>
    <xdr:to>
      <xdr:col>3</xdr:col>
      <xdr:colOff>409575</xdr:colOff>
      <xdr:row>5</xdr:row>
      <xdr:rowOff>76200</xdr:rowOff>
    </xdr:to>
    <xdr:sp>
      <xdr:nvSpPr>
        <xdr:cNvPr id="2" name="AutoShape 2"/>
        <xdr:cNvSpPr>
          <a:spLocks/>
        </xdr:cNvSpPr>
      </xdr:nvSpPr>
      <xdr:spPr>
        <a:xfrm rot="10800000">
          <a:off x="1943100" y="952500"/>
          <a:ext cx="1552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209550</xdr:colOff>
      <xdr:row>4</xdr:row>
      <xdr:rowOff>76200</xdr:rowOff>
    </xdr:from>
    <xdr:to>
      <xdr:col>6</xdr:col>
      <xdr:colOff>895350</xdr:colOff>
      <xdr:row>4</xdr:row>
      <xdr:rowOff>76200</xdr:rowOff>
    </xdr:to>
    <xdr:sp>
      <xdr:nvSpPr>
        <xdr:cNvPr id="3" name="AutoShape 3"/>
        <xdr:cNvSpPr>
          <a:spLocks/>
        </xdr:cNvSpPr>
      </xdr:nvSpPr>
      <xdr:spPr>
        <a:xfrm>
          <a:off x="6781800" y="790575"/>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85725</xdr:rowOff>
    </xdr:from>
    <xdr:to>
      <xdr:col>2</xdr:col>
      <xdr:colOff>714375</xdr:colOff>
      <xdr:row>4</xdr:row>
      <xdr:rowOff>85725</xdr:rowOff>
    </xdr:to>
    <xdr:sp>
      <xdr:nvSpPr>
        <xdr:cNvPr id="4" name="AutoShape 4"/>
        <xdr:cNvSpPr>
          <a:spLocks/>
        </xdr:cNvSpPr>
      </xdr:nvSpPr>
      <xdr:spPr>
        <a:xfrm flipH="1">
          <a:off x="1952625" y="800100"/>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206"/>
  <sheetViews>
    <sheetView tabSelected="1" zoomScale="90" zoomScaleNormal="90" zoomScalePageLayoutView="0" workbookViewId="0" topLeftCell="A1">
      <pane xSplit="1" ySplit="6" topLeftCell="B7" activePane="bottomRight" state="frozen"/>
      <selection pane="topLeft" activeCell="A4" sqref="A4"/>
      <selection pane="topRight" activeCell="A4" sqref="A4"/>
      <selection pane="bottomLeft" activeCell="A4" sqref="A4"/>
      <selection pane="bottomRight" activeCell="C12" sqref="C12"/>
    </sheetView>
  </sheetViews>
  <sheetFormatPr defaultColWidth="9.33203125" defaultRowHeight="12.75"/>
  <cols>
    <col min="1" max="1" width="31.66015625" style="18" customWidth="1"/>
    <col min="2" max="2" width="2" style="2" customWidth="1"/>
    <col min="3" max="3" width="20.66015625" style="46" customWidth="1"/>
    <col min="4" max="4" width="19.83203125" style="46" customWidth="1"/>
    <col min="5" max="5" width="2" style="46" customWidth="1"/>
    <col min="6" max="6" width="20.83203125" style="46" customWidth="1"/>
    <col min="7" max="7" width="18" style="18" bestFit="1" customWidth="1"/>
    <col min="8" max="16384" width="9.33203125" style="18" customWidth="1"/>
  </cols>
  <sheetData>
    <row r="1" spans="1:7" ht="16.5">
      <c r="A1" s="1" t="s">
        <v>32</v>
      </c>
      <c r="G1" s="92" t="s">
        <v>121</v>
      </c>
    </row>
    <row r="2" ht="13.5">
      <c r="A2" s="5" t="s">
        <v>65</v>
      </c>
    </row>
    <row r="3" ht="13.5">
      <c r="A3" s="5" t="s">
        <v>122</v>
      </c>
    </row>
    <row r="5" spans="3:7" ht="12.75">
      <c r="C5" s="101" t="s">
        <v>0</v>
      </c>
      <c r="D5" s="101"/>
      <c r="E5" s="6"/>
      <c r="F5" s="101" t="s">
        <v>123</v>
      </c>
      <c r="G5" s="101"/>
    </row>
    <row r="6" spans="3:7" ht="12.75">
      <c r="C6" s="12">
        <v>42094</v>
      </c>
      <c r="D6" s="12">
        <v>41729</v>
      </c>
      <c r="E6" s="12"/>
      <c r="F6" s="12">
        <f>C6</f>
        <v>42094</v>
      </c>
      <c r="G6" s="12">
        <f>D6</f>
        <v>41729</v>
      </c>
    </row>
    <row r="7" spans="3:7" ht="12.75">
      <c r="C7" s="19" t="s">
        <v>1</v>
      </c>
      <c r="D7" s="93" t="s">
        <v>1</v>
      </c>
      <c r="E7" s="6"/>
      <c r="F7" s="19" t="s">
        <v>1</v>
      </c>
      <c r="G7" s="93" t="s">
        <v>1</v>
      </c>
    </row>
    <row r="8" spans="3:7" ht="12.75">
      <c r="C8" s="6"/>
      <c r="D8" s="13"/>
      <c r="E8" s="13"/>
      <c r="F8" s="6"/>
      <c r="G8" s="13"/>
    </row>
    <row r="9" spans="1:7" ht="12.75">
      <c r="A9" s="27" t="s">
        <v>2</v>
      </c>
      <c r="C9" s="45">
        <v>283622</v>
      </c>
      <c r="D9" s="45">
        <v>218854</v>
      </c>
      <c r="E9" s="45"/>
      <c r="F9" s="45">
        <f>472338+C9</f>
        <v>755960</v>
      </c>
      <c r="G9" s="45">
        <f>451395+D9</f>
        <v>670249</v>
      </c>
    </row>
    <row r="10" spans="1:7" ht="12.75">
      <c r="A10" s="27" t="s">
        <v>3</v>
      </c>
      <c r="C10" s="47">
        <v>-157700</v>
      </c>
      <c r="D10" s="47">
        <v>-117720</v>
      </c>
      <c r="E10" s="45"/>
      <c r="F10" s="47">
        <f>-269477+C10</f>
        <v>-427177</v>
      </c>
      <c r="G10" s="47">
        <f>-239379+D10</f>
        <v>-357099</v>
      </c>
    </row>
    <row r="11" spans="1:7" s="10" customFormat="1" ht="12.75">
      <c r="A11" s="23" t="s">
        <v>4</v>
      </c>
      <c r="B11" s="2"/>
      <c r="C11" s="9">
        <f>SUM(C9:C10)</f>
        <v>125922</v>
      </c>
      <c r="D11" s="9">
        <f>SUM(D9:D10)</f>
        <v>101134</v>
      </c>
      <c r="E11" s="9"/>
      <c r="F11" s="9">
        <f>SUM(F9:F10)</f>
        <v>328783</v>
      </c>
      <c r="G11" s="9">
        <f>SUM(G9:G10)</f>
        <v>313150</v>
      </c>
    </row>
    <row r="12" spans="1:7" s="26" customFormat="1" ht="12.75">
      <c r="A12" s="24"/>
      <c r="B12" s="25"/>
      <c r="C12" s="14">
        <f>C11/C9</f>
        <v>0.44397825274485053</v>
      </c>
      <c r="D12" s="14">
        <f>D11/D9</f>
        <v>0.4621071581967887</v>
      </c>
      <c r="E12" s="15"/>
      <c r="F12" s="14">
        <f>F11/F9</f>
        <v>0.4349211598497275</v>
      </c>
      <c r="G12" s="14">
        <f>G11/G9</f>
        <v>0.4672144232964167</v>
      </c>
    </row>
    <row r="13" spans="1:7" ht="21.75" customHeight="1">
      <c r="A13" s="27" t="s">
        <v>66</v>
      </c>
      <c r="C13" s="45">
        <v>2640</v>
      </c>
      <c r="D13" s="45">
        <v>2064</v>
      </c>
      <c r="E13" s="45"/>
      <c r="F13" s="45">
        <f>4476+C13</f>
        <v>7116</v>
      </c>
      <c r="G13" s="45">
        <f>4714+D13</f>
        <v>6778</v>
      </c>
    </row>
    <row r="14" spans="1:7" ht="12.75">
      <c r="A14" s="27" t="s">
        <v>70</v>
      </c>
      <c r="C14" s="45">
        <v>-18167</v>
      </c>
      <c r="D14" s="45">
        <f>-15849-1069</f>
        <v>-16918</v>
      </c>
      <c r="E14" s="45"/>
      <c r="F14" s="45">
        <f>-31142+C14</f>
        <v>-49309</v>
      </c>
      <c r="G14" s="45">
        <f>-27990+D14</f>
        <v>-44908</v>
      </c>
    </row>
    <row r="15" spans="1:7" ht="12.75">
      <c r="A15" s="27" t="s">
        <v>67</v>
      </c>
      <c r="C15" s="45">
        <v>-70607</v>
      </c>
      <c r="D15" s="45">
        <f>-52387-5322+24</f>
        <v>-57685</v>
      </c>
      <c r="E15" s="45"/>
      <c r="F15" s="45">
        <f>-124113+C15</f>
        <v>-194720</v>
      </c>
      <c r="G15" s="45">
        <f>-109415+D15</f>
        <v>-167100</v>
      </c>
    </row>
    <row r="16" spans="1:7" ht="12.75">
      <c r="A16" s="27" t="s">
        <v>68</v>
      </c>
      <c r="C16" s="45">
        <v>-818</v>
      </c>
      <c r="D16" s="45">
        <v>-534</v>
      </c>
      <c r="E16" s="45"/>
      <c r="F16" s="45">
        <f>-1228+C16</f>
        <v>-2046</v>
      </c>
      <c r="G16" s="45">
        <f>-1127+D16</f>
        <v>-1661</v>
      </c>
    </row>
    <row r="17" spans="1:7" ht="12.75">
      <c r="A17" s="27"/>
      <c r="C17" s="47"/>
      <c r="D17" s="47"/>
      <c r="E17" s="45"/>
      <c r="F17" s="47"/>
      <c r="G17" s="47"/>
    </row>
    <row r="18" spans="1:7" s="10" customFormat="1" ht="12.75">
      <c r="A18" s="23" t="s">
        <v>5</v>
      </c>
      <c r="B18" s="2"/>
      <c r="C18" s="9">
        <f>SUM(C11,C13:C17)</f>
        <v>38970</v>
      </c>
      <c r="D18" s="9">
        <f>SUM(D11,D13:D17)</f>
        <v>28061</v>
      </c>
      <c r="E18" s="9"/>
      <c r="F18" s="9">
        <f>SUM(F11,F13:F17)</f>
        <v>89824</v>
      </c>
      <c r="G18" s="9">
        <f>SUM(G11,G13:G17)</f>
        <v>106259</v>
      </c>
    </row>
    <row r="19" spans="1:7" ht="12.75">
      <c r="A19" s="27"/>
      <c r="C19" s="79"/>
      <c r="D19" s="79"/>
      <c r="E19" s="45"/>
      <c r="F19" s="79"/>
      <c r="G19" s="79"/>
    </row>
    <row r="20" spans="1:7" ht="12.75">
      <c r="A20" s="27" t="s">
        <v>6</v>
      </c>
      <c r="C20" s="48">
        <v>-12377</v>
      </c>
      <c r="D20" s="48">
        <v>-6948</v>
      </c>
      <c r="E20" s="45"/>
      <c r="F20" s="45">
        <f>-15402+C20</f>
        <v>-27779</v>
      </c>
      <c r="G20" s="48">
        <f>-22061+D20</f>
        <v>-29009</v>
      </c>
    </row>
    <row r="21" spans="1:7" s="10" customFormat="1" ht="12.75">
      <c r="A21" s="23" t="s">
        <v>7</v>
      </c>
      <c r="B21" s="23"/>
      <c r="C21" s="29">
        <f>C18+C20</f>
        <v>26593</v>
      </c>
      <c r="D21" s="29">
        <f>SUM(D18:D20)</f>
        <v>21113</v>
      </c>
      <c r="E21" s="29"/>
      <c r="F21" s="29">
        <f>F18+F20</f>
        <v>62045</v>
      </c>
      <c r="G21" s="29">
        <f>SUM(G18:G20)</f>
        <v>77250</v>
      </c>
    </row>
    <row r="22" spans="2:7" s="10" customFormat="1" ht="12.75">
      <c r="B22" s="23"/>
      <c r="C22" s="80"/>
      <c r="D22" s="94"/>
      <c r="E22" s="30"/>
      <c r="F22" s="80"/>
      <c r="G22" s="94"/>
    </row>
    <row r="23" spans="1:7" s="10" customFormat="1" ht="12.75">
      <c r="A23" s="10" t="s">
        <v>73</v>
      </c>
      <c r="B23" s="23"/>
      <c r="C23" s="30"/>
      <c r="D23" s="30"/>
      <c r="E23" s="30"/>
      <c r="F23" s="30"/>
      <c r="G23" s="30"/>
    </row>
    <row r="24" spans="2:7" s="10" customFormat="1" ht="12.75">
      <c r="B24" s="23"/>
      <c r="C24" s="30"/>
      <c r="D24" s="30"/>
      <c r="E24" s="30"/>
      <c r="F24" s="30"/>
      <c r="G24" s="30"/>
    </row>
    <row r="25" spans="1:7" s="10" customFormat="1" ht="12.75">
      <c r="A25" s="26" t="s">
        <v>72</v>
      </c>
      <c r="B25" s="23"/>
      <c r="C25" s="30"/>
      <c r="D25" s="30"/>
      <c r="E25" s="30"/>
      <c r="F25" s="30"/>
      <c r="G25" s="30"/>
    </row>
    <row r="26" spans="1:8" s="69" customFormat="1" ht="20.25" customHeight="1">
      <c r="A26" s="67" t="s">
        <v>71</v>
      </c>
      <c r="B26" s="68"/>
      <c r="C26" s="87">
        <v>1393</v>
      </c>
      <c r="D26" s="95">
        <v>-170</v>
      </c>
      <c r="E26" s="88"/>
      <c r="F26" s="86">
        <f>1786+C26</f>
        <v>3179</v>
      </c>
      <c r="G26" s="95">
        <f>645+D26</f>
        <v>475</v>
      </c>
      <c r="H26" s="90"/>
    </row>
    <row r="27" spans="1:7" s="2" customFormat="1" ht="26.25" thickBot="1">
      <c r="A27" s="41" t="s">
        <v>50</v>
      </c>
      <c r="C27" s="43">
        <f>SUM(C21:C26)</f>
        <v>27986</v>
      </c>
      <c r="D27" s="43">
        <f>SUM(D21:D26)</f>
        <v>20943</v>
      </c>
      <c r="E27" s="44"/>
      <c r="F27" s="43">
        <f>SUM(F21:F26)</f>
        <v>65224</v>
      </c>
      <c r="G27" s="43">
        <f>SUM(G21:G26)</f>
        <v>77725</v>
      </c>
    </row>
    <row r="28" spans="3:7" ht="13.5" thickTop="1">
      <c r="C28" s="45"/>
      <c r="D28" s="45"/>
      <c r="E28" s="45"/>
      <c r="F28" s="45"/>
      <c r="G28" s="45"/>
    </row>
    <row r="29" spans="1:7" ht="12.75">
      <c r="A29" s="10" t="s">
        <v>51</v>
      </c>
      <c r="C29" s="45"/>
      <c r="D29" s="45"/>
      <c r="E29" s="45"/>
      <c r="F29" s="45"/>
      <c r="G29" s="45"/>
    </row>
    <row r="30" spans="1:7" ht="13.5" thickBot="1">
      <c r="A30" s="27" t="s">
        <v>52</v>
      </c>
      <c r="C30" s="34">
        <f>C21</f>
        <v>26593</v>
      </c>
      <c r="D30" s="34">
        <f>D21</f>
        <v>21113</v>
      </c>
      <c r="E30" s="9"/>
      <c r="F30" s="34">
        <f>F21</f>
        <v>62045</v>
      </c>
      <c r="G30" s="34">
        <f>G21</f>
        <v>77250</v>
      </c>
    </row>
    <row r="31" spans="1:7" ht="13.5" thickTop="1">
      <c r="A31" s="27"/>
      <c r="C31" s="48"/>
      <c r="D31" s="48"/>
      <c r="E31" s="45"/>
      <c r="F31" s="48"/>
      <c r="G31" s="48"/>
    </row>
    <row r="32" spans="1:7" ht="12.75">
      <c r="A32" s="33" t="s">
        <v>53</v>
      </c>
      <c r="C32" s="48"/>
      <c r="D32" s="48"/>
      <c r="E32" s="45"/>
      <c r="F32" s="48"/>
      <c r="G32" s="48"/>
    </row>
    <row r="33" spans="1:7" ht="13.5" thickBot="1">
      <c r="A33" s="27" t="s">
        <v>52</v>
      </c>
      <c r="C33" s="34">
        <f>C27</f>
        <v>27986</v>
      </c>
      <c r="D33" s="34">
        <f>D27</f>
        <v>20943</v>
      </c>
      <c r="E33" s="45"/>
      <c r="F33" s="34">
        <f>F27</f>
        <v>65224</v>
      </c>
      <c r="G33" s="34">
        <f>G27</f>
        <v>77725</v>
      </c>
    </row>
    <row r="34" spans="5:7" ht="13.5" thickTop="1">
      <c r="E34" s="45"/>
      <c r="G34" s="46"/>
    </row>
    <row r="35" spans="1:7" ht="12.75">
      <c r="A35" s="40" t="s">
        <v>74</v>
      </c>
      <c r="E35" s="45"/>
      <c r="G35" s="46"/>
    </row>
    <row r="36" spans="1:7" ht="12.75">
      <c r="A36" s="18" t="s">
        <v>75</v>
      </c>
      <c r="C36" s="49">
        <f>C30/6579.095</f>
        <v>4.042045296503546</v>
      </c>
      <c r="D36" s="49">
        <f>D30/6579.095</f>
        <v>3.209103987706516</v>
      </c>
      <c r="E36" s="49"/>
      <c r="F36" s="49">
        <f>F30/6579.095</f>
        <v>9.430628376699227</v>
      </c>
      <c r="G36" s="49">
        <f>G30/6579.095</f>
        <v>11.741736515432594</v>
      </c>
    </row>
    <row r="37" spans="4:5" ht="12.75">
      <c r="D37" s="49"/>
      <c r="E37" s="49"/>
    </row>
    <row r="38" spans="1:7" ht="12.75">
      <c r="A38" s="10"/>
      <c r="D38" s="96"/>
      <c r="E38" s="49"/>
      <c r="G38" s="96"/>
    </row>
    <row r="39" spans="1:6" ht="12.75">
      <c r="A39" s="28" t="s">
        <v>35</v>
      </c>
      <c r="C39" s="50"/>
      <c r="D39" s="51"/>
      <c r="E39" s="51"/>
      <c r="F39" s="50"/>
    </row>
    <row r="40" spans="4:6" ht="12.75">
      <c r="D40" s="45"/>
      <c r="E40" s="45"/>
      <c r="F40" s="45"/>
    </row>
    <row r="41" spans="4:6" ht="12.75">
      <c r="D41" s="45"/>
      <c r="E41" s="45"/>
      <c r="F41" s="45"/>
    </row>
    <row r="42" spans="4:6" ht="12.75">
      <c r="D42" s="45"/>
      <c r="E42" s="45"/>
      <c r="F42" s="45"/>
    </row>
    <row r="43" spans="1:7" ht="42" customHeight="1">
      <c r="A43" s="102" t="s">
        <v>112</v>
      </c>
      <c r="B43" s="102"/>
      <c r="C43" s="102"/>
      <c r="D43" s="102"/>
      <c r="E43" s="102"/>
      <c r="F43" s="102"/>
      <c r="G43" s="102"/>
    </row>
    <row r="44" spans="4:6" ht="12.75">
      <c r="D44" s="45"/>
      <c r="E44" s="45"/>
      <c r="F44" s="45"/>
    </row>
    <row r="45" spans="4:6" ht="12.75">
      <c r="D45" s="45"/>
      <c r="E45" s="45"/>
      <c r="F45" s="45"/>
    </row>
    <row r="46" spans="4:6" ht="12.75">
      <c r="D46" s="45"/>
      <c r="E46" s="45"/>
      <c r="F46" s="45"/>
    </row>
    <row r="47" spans="4:6" ht="12.75">
      <c r="D47" s="45"/>
      <c r="E47" s="45"/>
      <c r="F47" s="45"/>
    </row>
    <row r="48" spans="4:6" ht="12.75">
      <c r="D48" s="45"/>
      <c r="E48" s="45"/>
      <c r="F48" s="45"/>
    </row>
    <row r="49" spans="4:6" ht="12.75">
      <c r="D49" s="45"/>
      <c r="E49" s="45"/>
      <c r="F49" s="45"/>
    </row>
    <row r="50" spans="4:6" ht="12.75">
      <c r="D50" s="45"/>
      <c r="E50" s="45"/>
      <c r="F50" s="45"/>
    </row>
    <row r="51" spans="4:6" ht="12.75">
      <c r="D51" s="45"/>
      <c r="E51" s="45"/>
      <c r="F51" s="45"/>
    </row>
    <row r="52" spans="4:6" ht="12.75">
      <c r="D52" s="45"/>
      <c r="E52" s="45"/>
      <c r="F52" s="45"/>
    </row>
    <row r="53" spans="4:6" ht="12.75">
      <c r="D53" s="45"/>
      <c r="E53" s="45"/>
      <c r="F53" s="45"/>
    </row>
    <row r="54" spans="4:6" ht="12.75">
      <c r="D54" s="45"/>
      <c r="E54" s="45"/>
      <c r="F54" s="45"/>
    </row>
    <row r="55" spans="4:6" ht="12.75">
      <c r="D55" s="45"/>
      <c r="E55" s="45"/>
      <c r="F55" s="45"/>
    </row>
    <row r="56" spans="4:6" ht="12.75">
      <c r="D56" s="45"/>
      <c r="E56" s="45"/>
      <c r="F56" s="45"/>
    </row>
    <row r="57" spans="4:6" ht="12.75">
      <c r="D57" s="45"/>
      <c r="E57" s="45"/>
      <c r="F57" s="45"/>
    </row>
    <row r="58" spans="4:6" ht="12.75">
      <c r="D58" s="45"/>
      <c r="E58" s="45"/>
      <c r="F58" s="45"/>
    </row>
    <row r="59" spans="4:6" ht="12.75">
      <c r="D59" s="45"/>
      <c r="E59" s="45"/>
      <c r="F59" s="45"/>
    </row>
    <row r="60" spans="4:6" ht="12.75">
      <c r="D60" s="45"/>
      <c r="E60" s="45"/>
      <c r="F60" s="45"/>
    </row>
    <row r="61" spans="4:6" ht="12.75">
      <c r="D61" s="45"/>
      <c r="E61" s="45"/>
      <c r="F61" s="45"/>
    </row>
    <row r="62" spans="4:6" ht="12.75">
      <c r="D62" s="45"/>
      <c r="E62" s="45"/>
      <c r="F62" s="45"/>
    </row>
    <row r="63" spans="4:6" ht="12.75">
      <c r="D63" s="45"/>
      <c r="E63" s="45"/>
      <c r="F63" s="45"/>
    </row>
    <row r="64" spans="4:6" ht="12.75">
      <c r="D64" s="45"/>
      <c r="E64" s="45"/>
      <c r="F64" s="45"/>
    </row>
    <row r="65" spans="4:6" ht="12.75">
      <c r="D65" s="45"/>
      <c r="E65" s="45"/>
      <c r="F65" s="45"/>
    </row>
    <row r="66" spans="4:6" ht="12.75">
      <c r="D66" s="45"/>
      <c r="E66" s="45"/>
      <c r="F66" s="45"/>
    </row>
    <row r="67" spans="4:6" ht="12.75">
      <c r="D67" s="45"/>
      <c r="E67" s="45"/>
      <c r="F67" s="45"/>
    </row>
    <row r="68" spans="4:6" ht="12.75">
      <c r="D68" s="45"/>
      <c r="E68" s="45"/>
      <c r="F68" s="45"/>
    </row>
    <row r="69" spans="4:6" ht="12.75">
      <c r="D69" s="45"/>
      <c r="E69" s="45"/>
      <c r="F69" s="45"/>
    </row>
    <row r="70" spans="4:6" ht="12.75">
      <c r="D70" s="45"/>
      <c r="E70" s="45"/>
      <c r="F70" s="45"/>
    </row>
    <row r="71" spans="4:6" ht="12.75">
      <c r="D71" s="45"/>
      <c r="E71" s="45"/>
      <c r="F71" s="45"/>
    </row>
    <row r="72" spans="4:6" ht="12.75">
      <c r="D72" s="45"/>
      <c r="E72" s="45"/>
      <c r="F72" s="45"/>
    </row>
    <row r="73" spans="4:6" ht="12.75">
      <c r="D73" s="45"/>
      <c r="E73" s="45"/>
      <c r="F73" s="45"/>
    </row>
    <row r="74" spans="4:6" ht="12.75">
      <c r="D74" s="45"/>
      <c r="E74" s="45"/>
      <c r="F74" s="45"/>
    </row>
    <row r="75" spans="4:6" ht="12.75">
      <c r="D75" s="45"/>
      <c r="E75" s="45"/>
      <c r="F75" s="45"/>
    </row>
    <row r="76" spans="4:6" ht="12.75">
      <c r="D76" s="45"/>
      <c r="E76" s="45"/>
      <c r="F76" s="45"/>
    </row>
    <row r="77" spans="4:6" ht="12.75">
      <c r="D77" s="45"/>
      <c r="E77" s="45"/>
      <c r="F77" s="45"/>
    </row>
    <row r="78" spans="4:6" ht="12.75">
      <c r="D78" s="45"/>
      <c r="E78" s="45"/>
      <c r="F78" s="45"/>
    </row>
    <row r="79" spans="4:6" ht="12.75">
      <c r="D79" s="45"/>
      <c r="E79" s="45"/>
      <c r="F79" s="45"/>
    </row>
    <row r="80" spans="4:6" ht="12.75">
      <c r="D80" s="45"/>
      <c r="E80" s="45"/>
      <c r="F80" s="45"/>
    </row>
    <row r="81" spans="4:6" ht="12.75">
      <c r="D81" s="45"/>
      <c r="E81" s="45"/>
      <c r="F81" s="45"/>
    </row>
    <row r="82" spans="4:6" ht="12.75">
      <c r="D82" s="45"/>
      <c r="E82" s="45"/>
      <c r="F82" s="45"/>
    </row>
    <row r="83" spans="4:6" ht="12.75">
      <c r="D83" s="45"/>
      <c r="E83" s="45"/>
      <c r="F83" s="45"/>
    </row>
    <row r="84" spans="4:6" ht="12.75">
      <c r="D84" s="45"/>
      <c r="E84" s="45"/>
      <c r="F84" s="45"/>
    </row>
    <row r="85" spans="4:6" ht="12.75">
      <c r="D85" s="45"/>
      <c r="E85" s="45"/>
      <c r="F85" s="45"/>
    </row>
    <row r="86" spans="4:6" ht="12.75">
      <c r="D86" s="45"/>
      <c r="E86" s="45"/>
      <c r="F86" s="45"/>
    </row>
    <row r="87" spans="4:6" ht="12.75">
      <c r="D87" s="45"/>
      <c r="E87" s="45"/>
      <c r="F87" s="45"/>
    </row>
    <row r="88" spans="4:6" ht="12.75">
      <c r="D88" s="45"/>
      <c r="E88" s="45"/>
      <c r="F88" s="45"/>
    </row>
    <row r="89" spans="4:6" ht="12.75">
      <c r="D89" s="45"/>
      <c r="E89" s="45"/>
      <c r="F89" s="45"/>
    </row>
    <row r="90" spans="4:6" ht="12.75">
      <c r="D90" s="45"/>
      <c r="E90" s="45"/>
      <c r="F90" s="45"/>
    </row>
    <row r="91" spans="4:6" ht="12.75">
      <c r="D91" s="45"/>
      <c r="E91" s="45"/>
      <c r="F91" s="45"/>
    </row>
    <row r="92" spans="4:6" ht="12.75">
      <c r="D92" s="45"/>
      <c r="E92" s="45"/>
      <c r="F92" s="45"/>
    </row>
    <row r="93" spans="4:6" ht="12.75">
      <c r="D93" s="45"/>
      <c r="E93" s="45"/>
      <c r="F93" s="45"/>
    </row>
    <row r="94" spans="4:6" ht="12.75">
      <c r="D94" s="45"/>
      <c r="E94" s="45"/>
      <c r="F94" s="45"/>
    </row>
    <row r="95" spans="4:6" ht="12.75">
      <c r="D95" s="45"/>
      <c r="E95" s="45"/>
      <c r="F95" s="45"/>
    </row>
    <row r="96" spans="4:6" ht="12.75">
      <c r="D96" s="45"/>
      <c r="E96" s="45"/>
      <c r="F96" s="45"/>
    </row>
    <row r="97" spans="4:6" ht="12.75">
      <c r="D97" s="45"/>
      <c r="E97" s="45"/>
      <c r="F97" s="45"/>
    </row>
    <row r="98" spans="4:6" ht="12.75">
      <c r="D98" s="45"/>
      <c r="E98" s="45"/>
      <c r="F98" s="45"/>
    </row>
    <row r="99" spans="4:6" ht="12.75">
      <c r="D99" s="45"/>
      <c r="E99" s="45"/>
      <c r="F99" s="45"/>
    </row>
    <row r="100" spans="4:6" ht="12.75">
      <c r="D100" s="45"/>
      <c r="E100" s="45"/>
      <c r="F100" s="45"/>
    </row>
    <row r="101" spans="4:6" ht="12.75">
      <c r="D101" s="45"/>
      <c r="E101" s="45"/>
      <c r="F101" s="45"/>
    </row>
    <row r="102" spans="4:6" ht="12.75">
      <c r="D102" s="45"/>
      <c r="E102" s="45"/>
      <c r="F102" s="45"/>
    </row>
    <row r="103" spans="4:6" ht="12.75">
      <c r="D103" s="45"/>
      <c r="E103" s="45"/>
      <c r="F103" s="45"/>
    </row>
    <row r="104" spans="4:6" ht="12.75">
      <c r="D104" s="45"/>
      <c r="E104" s="45"/>
      <c r="F104" s="45"/>
    </row>
    <row r="105" spans="4:6" ht="12.75">
      <c r="D105" s="45"/>
      <c r="E105" s="45"/>
      <c r="F105" s="45"/>
    </row>
    <row r="106" spans="4:6" ht="12.75">
      <c r="D106" s="45"/>
      <c r="E106" s="45"/>
      <c r="F106" s="45"/>
    </row>
    <row r="107" spans="4:6" ht="12.75">
      <c r="D107" s="45"/>
      <c r="E107" s="45"/>
      <c r="F107" s="45"/>
    </row>
    <row r="108" spans="4:6" ht="12.75">
      <c r="D108" s="45"/>
      <c r="E108" s="45"/>
      <c r="F108" s="45"/>
    </row>
    <row r="109" spans="4:6" ht="12.75">
      <c r="D109" s="45"/>
      <c r="E109" s="45"/>
      <c r="F109" s="45"/>
    </row>
    <row r="110" spans="4:6" ht="12.75">
      <c r="D110" s="45"/>
      <c r="E110" s="45"/>
      <c r="F110" s="45"/>
    </row>
    <row r="111" spans="4:6" ht="12.75">
      <c r="D111" s="45"/>
      <c r="E111" s="45"/>
      <c r="F111" s="45"/>
    </row>
    <row r="112" spans="4:6" ht="12.75">
      <c r="D112" s="45"/>
      <c r="E112" s="45"/>
      <c r="F112" s="45"/>
    </row>
    <row r="113" spans="4:6" ht="12.75">
      <c r="D113" s="45"/>
      <c r="E113" s="45"/>
      <c r="F113" s="45"/>
    </row>
    <row r="114" spans="4:6" ht="12.75">
      <c r="D114" s="45"/>
      <c r="E114" s="45"/>
      <c r="F114" s="45"/>
    </row>
    <row r="115" spans="4:6" ht="12.75">
      <c r="D115" s="45"/>
      <c r="E115" s="45"/>
      <c r="F115" s="45"/>
    </row>
    <row r="116" spans="4:6" ht="12.75">
      <c r="D116" s="45"/>
      <c r="E116" s="45"/>
      <c r="F116" s="45"/>
    </row>
    <row r="117" spans="4:6" ht="12.75">
      <c r="D117" s="45"/>
      <c r="E117" s="45"/>
      <c r="F117" s="45"/>
    </row>
    <row r="118" spans="4:6" ht="12.75">
      <c r="D118" s="45"/>
      <c r="E118" s="45"/>
      <c r="F118" s="45"/>
    </row>
    <row r="119" spans="4:6" ht="12.75">
      <c r="D119" s="45"/>
      <c r="E119" s="45"/>
      <c r="F119" s="45"/>
    </row>
    <row r="120" spans="4:6" ht="12.75">
      <c r="D120" s="45"/>
      <c r="E120" s="45"/>
      <c r="F120" s="45"/>
    </row>
    <row r="121" spans="4:6" ht="12.75">
      <c r="D121" s="45"/>
      <c r="E121" s="45"/>
      <c r="F121" s="45"/>
    </row>
    <row r="122" spans="4:6" ht="12.75">
      <c r="D122" s="45"/>
      <c r="E122" s="45"/>
      <c r="F122" s="45"/>
    </row>
    <row r="123" spans="4:6" ht="12.75">
      <c r="D123" s="45"/>
      <c r="E123" s="45"/>
      <c r="F123" s="45"/>
    </row>
    <row r="124" spans="4:6" ht="12.75">
      <c r="D124" s="45"/>
      <c r="E124" s="45"/>
      <c r="F124" s="45"/>
    </row>
    <row r="125" spans="4:6" ht="12.75">
      <c r="D125" s="45"/>
      <c r="E125" s="45"/>
      <c r="F125" s="45"/>
    </row>
    <row r="126" spans="4:6" ht="12.75">
      <c r="D126" s="45"/>
      <c r="E126" s="45"/>
      <c r="F126" s="45"/>
    </row>
    <row r="127" spans="4:6" ht="12.75">
      <c r="D127" s="45"/>
      <c r="E127" s="45"/>
      <c r="F127" s="45"/>
    </row>
    <row r="128" spans="4:6" ht="12.75">
      <c r="D128" s="45"/>
      <c r="E128" s="45"/>
      <c r="F128" s="45"/>
    </row>
    <row r="129" spans="4:6" ht="12.75">
      <c r="D129" s="45"/>
      <c r="E129" s="45"/>
      <c r="F129" s="45"/>
    </row>
    <row r="130" spans="4:6" ht="12.75">
      <c r="D130" s="45"/>
      <c r="E130" s="45"/>
      <c r="F130" s="45"/>
    </row>
    <row r="131" spans="4:6" ht="12.75">
      <c r="D131" s="45"/>
      <c r="E131" s="45"/>
      <c r="F131" s="45"/>
    </row>
    <row r="132" spans="4:6" ht="12.75">
      <c r="D132" s="45"/>
      <c r="E132" s="45"/>
      <c r="F132" s="45"/>
    </row>
    <row r="133" spans="4:6" ht="12.75">
      <c r="D133" s="45"/>
      <c r="E133" s="45"/>
      <c r="F133" s="45"/>
    </row>
    <row r="134" spans="4:6" ht="12.75">
      <c r="D134" s="45"/>
      <c r="E134" s="45"/>
      <c r="F134" s="45"/>
    </row>
    <row r="135" spans="4:6" ht="12.75">
      <c r="D135" s="45"/>
      <c r="E135" s="45"/>
      <c r="F135" s="45"/>
    </row>
    <row r="136" spans="4:6" ht="12.75">
      <c r="D136" s="45"/>
      <c r="E136" s="45"/>
      <c r="F136" s="45"/>
    </row>
    <row r="137" spans="4:6" ht="12.75">
      <c r="D137" s="45"/>
      <c r="E137" s="45"/>
      <c r="F137" s="45"/>
    </row>
    <row r="138" spans="4:6" ht="12.75">
      <c r="D138" s="45"/>
      <c r="E138" s="45"/>
      <c r="F138" s="45"/>
    </row>
    <row r="139" spans="4:6" ht="12.75">
      <c r="D139" s="45"/>
      <c r="E139" s="45"/>
      <c r="F139" s="45"/>
    </row>
    <row r="140" spans="4:6" ht="12.75">
      <c r="D140" s="45"/>
      <c r="E140" s="45"/>
      <c r="F140" s="45"/>
    </row>
    <row r="141" spans="4:6" ht="12.75">
      <c r="D141" s="45"/>
      <c r="E141" s="45"/>
      <c r="F141" s="45"/>
    </row>
    <row r="142" spans="4:6" ht="12.75">
      <c r="D142" s="45"/>
      <c r="E142" s="45"/>
      <c r="F142" s="45"/>
    </row>
    <row r="143" spans="4:6" ht="12.75">
      <c r="D143" s="45"/>
      <c r="E143" s="45"/>
      <c r="F143" s="45"/>
    </row>
    <row r="144" spans="4:6" ht="12.75">
      <c r="D144" s="45"/>
      <c r="E144" s="45"/>
      <c r="F144" s="45"/>
    </row>
    <row r="145" spans="4:6" ht="12.75">
      <c r="D145" s="45"/>
      <c r="E145" s="45"/>
      <c r="F145" s="45"/>
    </row>
    <row r="146" spans="4:6" ht="12.75">
      <c r="D146" s="45"/>
      <c r="E146" s="45"/>
      <c r="F146" s="45"/>
    </row>
    <row r="147" spans="4:6" ht="12.75">
      <c r="D147" s="45"/>
      <c r="E147" s="45"/>
      <c r="F147" s="45"/>
    </row>
    <row r="148" spans="4:6" ht="12.75">
      <c r="D148" s="45"/>
      <c r="E148" s="45"/>
      <c r="F148" s="45"/>
    </row>
    <row r="149" spans="4:6" ht="12.75">
      <c r="D149" s="45"/>
      <c r="E149" s="45"/>
      <c r="F149" s="45"/>
    </row>
    <row r="150" spans="4:6" ht="12.75">
      <c r="D150" s="45"/>
      <c r="E150" s="45"/>
      <c r="F150" s="45"/>
    </row>
    <row r="151" spans="4:6" ht="12.75">
      <c r="D151" s="45"/>
      <c r="E151" s="45"/>
      <c r="F151" s="45"/>
    </row>
    <row r="152" spans="4:6" ht="12.75">
      <c r="D152" s="45"/>
      <c r="E152" s="45"/>
      <c r="F152" s="45"/>
    </row>
    <row r="153" spans="4:6" ht="12.75">
      <c r="D153" s="45"/>
      <c r="E153" s="45"/>
      <c r="F153" s="45"/>
    </row>
    <row r="154" spans="4:6" ht="12.75">
      <c r="D154" s="45"/>
      <c r="E154" s="45"/>
      <c r="F154" s="45"/>
    </row>
    <row r="155" spans="4:6" ht="12.75">
      <c r="D155" s="45"/>
      <c r="E155" s="45"/>
      <c r="F155" s="45"/>
    </row>
    <row r="156" spans="4:6" ht="12.75">
      <c r="D156" s="45"/>
      <c r="E156" s="45"/>
      <c r="F156" s="45"/>
    </row>
    <row r="157" spans="4:6" ht="12.75">
      <c r="D157" s="45"/>
      <c r="E157" s="45"/>
      <c r="F157" s="45"/>
    </row>
    <row r="158" spans="4:6" ht="12.75">
      <c r="D158" s="45"/>
      <c r="E158" s="45"/>
      <c r="F158" s="45"/>
    </row>
    <row r="159" spans="4:6" ht="12.75">
      <c r="D159" s="45"/>
      <c r="E159" s="45"/>
      <c r="F159" s="45"/>
    </row>
    <row r="160" spans="4:6" ht="12.75">
      <c r="D160" s="45"/>
      <c r="E160" s="45"/>
      <c r="F160" s="45"/>
    </row>
    <row r="161" spans="4:6" ht="12.75">
      <c r="D161" s="45"/>
      <c r="E161" s="45"/>
      <c r="F161" s="45"/>
    </row>
    <row r="162" spans="4:6" ht="12.75">
      <c r="D162" s="45"/>
      <c r="E162" s="45"/>
      <c r="F162" s="45"/>
    </row>
    <row r="163" spans="4:6" ht="12.75">
      <c r="D163" s="45"/>
      <c r="E163" s="45"/>
      <c r="F163" s="45"/>
    </row>
    <row r="164" spans="4:6" ht="12.75">
      <c r="D164" s="45"/>
      <c r="E164" s="45"/>
      <c r="F164" s="45"/>
    </row>
    <row r="165" spans="4:6" ht="12.75">
      <c r="D165" s="45"/>
      <c r="E165" s="45"/>
      <c r="F165" s="45"/>
    </row>
    <row r="166" spans="4:6" ht="12.75">
      <c r="D166" s="45"/>
      <c r="E166" s="45"/>
      <c r="F166" s="45"/>
    </row>
    <row r="167" spans="4:6" ht="12.75">
      <c r="D167" s="45"/>
      <c r="E167" s="45"/>
      <c r="F167" s="45"/>
    </row>
    <row r="168" spans="4:6" ht="12.75">
      <c r="D168" s="45"/>
      <c r="E168" s="45"/>
      <c r="F168" s="45"/>
    </row>
    <row r="169" spans="4:6" ht="12.75">
      <c r="D169" s="45"/>
      <c r="E169" s="45"/>
      <c r="F169" s="45"/>
    </row>
    <row r="170" spans="4:6" ht="12.75">
      <c r="D170" s="45"/>
      <c r="E170" s="45"/>
      <c r="F170" s="45"/>
    </row>
    <row r="171" spans="4:6" ht="12.75">
      <c r="D171" s="45"/>
      <c r="E171" s="45"/>
      <c r="F171" s="45"/>
    </row>
    <row r="172" spans="4:6" ht="12.75">
      <c r="D172" s="45"/>
      <c r="E172" s="45"/>
      <c r="F172" s="45"/>
    </row>
    <row r="173" spans="4:6" ht="12.75">
      <c r="D173" s="45"/>
      <c r="E173" s="45"/>
      <c r="F173" s="45"/>
    </row>
    <row r="174" spans="4:6" ht="12.75">
      <c r="D174" s="45"/>
      <c r="E174" s="45"/>
      <c r="F174" s="45"/>
    </row>
    <row r="175" spans="4:6" ht="12.75">
      <c r="D175" s="45"/>
      <c r="E175" s="45"/>
      <c r="F175" s="45"/>
    </row>
    <row r="176" spans="4:6" ht="12.75">
      <c r="D176" s="45"/>
      <c r="E176" s="45"/>
      <c r="F176" s="45"/>
    </row>
    <row r="177" spans="4:6" ht="12.75">
      <c r="D177" s="45"/>
      <c r="E177" s="45"/>
      <c r="F177" s="45"/>
    </row>
    <row r="178" spans="4:6" ht="12.75">
      <c r="D178" s="45"/>
      <c r="E178" s="45"/>
      <c r="F178" s="45"/>
    </row>
    <row r="179" spans="4:6" ht="12.75">
      <c r="D179" s="45"/>
      <c r="E179" s="45"/>
      <c r="F179" s="45"/>
    </row>
    <row r="180" spans="4:6" ht="12.75">
      <c r="D180" s="45"/>
      <c r="E180" s="45"/>
      <c r="F180" s="45"/>
    </row>
    <row r="181" spans="4:6" ht="12.75">
      <c r="D181" s="45"/>
      <c r="E181" s="45"/>
      <c r="F181" s="45"/>
    </row>
    <row r="182" spans="4:6" ht="12.75">
      <c r="D182" s="45"/>
      <c r="E182" s="45"/>
      <c r="F182" s="45"/>
    </row>
    <row r="183" spans="4:6" ht="12.75">
      <c r="D183" s="45"/>
      <c r="E183" s="45"/>
      <c r="F183" s="45"/>
    </row>
    <row r="184" spans="4:6" ht="12.75">
      <c r="D184" s="45"/>
      <c r="E184" s="45"/>
      <c r="F184" s="45"/>
    </row>
    <row r="185" spans="4:6" ht="12.75">
      <c r="D185" s="45"/>
      <c r="E185" s="45"/>
      <c r="F185" s="45"/>
    </row>
    <row r="186" spans="4:6" ht="12.75">
      <c r="D186" s="45"/>
      <c r="E186" s="45"/>
      <c r="F186" s="45"/>
    </row>
    <row r="187" spans="4:6" ht="12.75">
      <c r="D187" s="45"/>
      <c r="E187" s="45"/>
      <c r="F187" s="45"/>
    </row>
    <row r="188" spans="4:6" ht="12.75">
      <c r="D188" s="45"/>
      <c r="E188" s="45"/>
      <c r="F188" s="45"/>
    </row>
    <row r="189" spans="4:6" ht="12.75">
      <c r="D189" s="45"/>
      <c r="E189" s="45"/>
      <c r="F189" s="45"/>
    </row>
    <row r="190" spans="4:6" ht="12.75">
      <c r="D190" s="45"/>
      <c r="E190" s="45"/>
      <c r="F190" s="45"/>
    </row>
    <row r="191" spans="4:6" ht="12.75">
      <c r="D191" s="45"/>
      <c r="E191" s="45"/>
      <c r="F191" s="45"/>
    </row>
    <row r="192" spans="4:6" ht="12.75">
      <c r="D192" s="45"/>
      <c r="E192" s="45"/>
      <c r="F192" s="45"/>
    </row>
    <row r="193" spans="4:6" ht="12.75">
      <c r="D193" s="45"/>
      <c r="E193" s="45"/>
      <c r="F193" s="45"/>
    </row>
    <row r="194" spans="4:6" ht="12.75">
      <c r="D194" s="45"/>
      <c r="E194" s="45"/>
      <c r="F194" s="45"/>
    </row>
    <row r="195" spans="4:6" ht="12.75">
      <c r="D195" s="45"/>
      <c r="E195" s="45"/>
      <c r="F195" s="45"/>
    </row>
    <row r="196" spans="4:6" ht="12.75">
      <c r="D196" s="45"/>
      <c r="E196" s="45"/>
      <c r="F196" s="45"/>
    </row>
    <row r="197" spans="4:6" ht="12.75">
      <c r="D197" s="45"/>
      <c r="E197" s="45"/>
      <c r="F197" s="45"/>
    </row>
    <row r="198" spans="4:6" ht="12.75">
      <c r="D198" s="45"/>
      <c r="E198" s="45"/>
      <c r="F198" s="45"/>
    </row>
    <row r="199" spans="4:6" ht="12.75">
      <c r="D199" s="45"/>
      <c r="E199" s="45"/>
      <c r="F199" s="45"/>
    </row>
    <row r="200" spans="4:6" ht="12.75">
      <c r="D200" s="45"/>
      <c r="E200" s="45"/>
      <c r="F200" s="45"/>
    </row>
    <row r="201" spans="4:6" ht="12.75">
      <c r="D201" s="45"/>
      <c r="E201" s="45"/>
      <c r="F201" s="45"/>
    </row>
    <row r="202" spans="4:6" ht="12.75">
      <c r="D202" s="45"/>
      <c r="E202" s="45"/>
      <c r="F202" s="45"/>
    </row>
    <row r="203" spans="4:6" ht="12.75">
      <c r="D203" s="45"/>
      <c r="E203" s="45"/>
      <c r="F203" s="45"/>
    </row>
    <row r="204" spans="4:6" ht="12.75">
      <c r="D204" s="45"/>
      <c r="E204" s="45"/>
      <c r="F204" s="45"/>
    </row>
    <row r="205" spans="4:6" ht="12.75">
      <c r="D205" s="45"/>
      <c r="E205" s="45"/>
      <c r="F205" s="45"/>
    </row>
    <row r="206" spans="4:6" ht="12.75">
      <c r="D206" s="45"/>
      <c r="E206" s="45"/>
      <c r="F206" s="45"/>
    </row>
  </sheetData>
  <sheetProtection/>
  <mergeCells count="3">
    <mergeCell ref="C5:D5"/>
    <mergeCell ref="F5:G5"/>
    <mergeCell ref="A43:G43"/>
  </mergeCells>
  <printOptions horizontalCentered="1"/>
  <pageMargins left="0.5905511811023623" right="0" top="0.5118110236220472" bottom="0.7874015748031497" header="0.35433070866141736"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67"/>
  <sheetViews>
    <sheetView zoomScalePageLayoutView="0" workbookViewId="0" topLeftCell="A1">
      <pane xSplit="2" ySplit="5" topLeftCell="C26" activePane="bottomRight" state="frozen"/>
      <selection pane="topLeft" activeCell="A1" sqref="A1"/>
      <selection pane="topRight" activeCell="A1" sqref="A1"/>
      <selection pane="bottomLeft" activeCell="A1" sqref="A1"/>
      <selection pane="bottomRight" activeCell="D35" sqref="D35"/>
    </sheetView>
  </sheetViews>
  <sheetFormatPr defaultColWidth="9.33203125" defaultRowHeight="12.75"/>
  <cols>
    <col min="1" max="1" width="43.66015625" style="18" customWidth="1"/>
    <col min="2" max="2" width="7.16015625" style="18" bestFit="1" customWidth="1"/>
    <col min="3" max="3" width="19.83203125" style="46" customWidth="1"/>
    <col min="4" max="4" width="18.5" style="18" customWidth="1"/>
    <col min="5" max="16384" width="9.33203125" style="18" customWidth="1"/>
  </cols>
  <sheetData>
    <row r="1" spans="1:4" ht="16.5">
      <c r="A1" s="1" t="s">
        <v>32</v>
      </c>
      <c r="B1" s="2"/>
      <c r="D1" s="4" t="str">
        <f>'Income Stt'!G1</f>
        <v>Date : 19 · 05 · 2015</v>
      </c>
    </row>
    <row r="2" spans="1:2" ht="13.5">
      <c r="A2" s="5" t="s">
        <v>111</v>
      </c>
      <c r="B2" s="2"/>
    </row>
    <row r="3" spans="2:4" ht="13.5">
      <c r="B3" s="2"/>
      <c r="C3" s="21" t="s">
        <v>8</v>
      </c>
      <c r="D3" s="21" t="s">
        <v>8</v>
      </c>
    </row>
    <row r="4" spans="2:4" ht="13.5">
      <c r="B4" s="2"/>
      <c r="C4" s="22">
        <f>'Income Stt'!C6</f>
        <v>42094</v>
      </c>
      <c r="D4" s="22">
        <v>41820</v>
      </c>
    </row>
    <row r="5" spans="2:4" ht="13.5">
      <c r="B5" s="2"/>
      <c r="C5" s="21" t="s">
        <v>1</v>
      </c>
      <c r="D5" s="21" t="s">
        <v>1</v>
      </c>
    </row>
    <row r="6" spans="2:3" ht="13.5">
      <c r="B6" s="2"/>
      <c r="C6" s="32"/>
    </row>
    <row r="7" ht="12.75">
      <c r="A7" s="16" t="s">
        <v>9</v>
      </c>
    </row>
    <row r="8" ht="12.75">
      <c r="A8" s="10" t="s">
        <v>10</v>
      </c>
    </row>
    <row r="9" spans="1:4" ht="12.75">
      <c r="A9" s="18" t="s">
        <v>11</v>
      </c>
      <c r="C9" s="45">
        <v>123399</v>
      </c>
      <c r="D9" s="45">
        <v>108717</v>
      </c>
    </row>
    <row r="10" spans="1:4" ht="12.75">
      <c r="A10" s="18" t="s">
        <v>36</v>
      </c>
      <c r="C10" s="45">
        <v>5997</v>
      </c>
      <c r="D10" s="45">
        <v>6267</v>
      </c>
    </row>
    <row r="11" spans="1:4" ht="12.75">
      <c r="A11" s="18" t="s">
        <v>76</v>
      </c>
      <c r="C11" s="45">
        <v>3586</v>
      </c>
      <c r="D11" s="45">
        <v>3108</v>
      </c>
    </row>
    <row r="12" spans="1:4" ht="12.75">
      <c r="A12" s="18" t="s">
        <v>54</v>
      </c>
      <c r="C12" s="45">
        <v>175</v>
      </c>
      <c r="D12" s="45">
        <v>175</v>
      </c>
    </row>
    <row r="13" spans="1:4" ht="12.75">
      <c r="A13" s="18" t="s">
        <v>55</v>
      </c>
      <c r="C13" s="45">
        <v>560</v>
      </c>
      <c r="D13" s="45">
        <v>560</v>
      </c>
    </row>
    <row r="14" spans="1:4" ht="12.75">
      <c r="A14" s="18" t="s">
        <v>12</v>
      </c>
      <c r="C14" s="45">
        <v>427</v>
      </c>
      <c r="D14" s="45">
        <v>648</v>
      </c>
    </row>
    <row r="15" spans="3:4" ht="12.75">
      <c r="C15" s="45"/>
      <c r="D15" s="45"/>
    </row>
    <row r="16" spans="3:7" s="10" customFormat="1" ht="12.75">
      <c r="C16" s="17">
        <f>SUM(C9:C15)</f>
        <v>134144</v>
      </c>
      <c r="D16" s="17">
        <f>SUM(D9:D15)</f>
        <v>119475</v>
      </c>
      <c r="G16" s="85"/>
    </row>
    <row r="17" spans="3:4" ht="12.75">
      <c r="C17" s="45"/>
      <c r="D17" s="45"/>
    </row>
    <row r="18" spans="1:4" ht="12.75">
      <c r="A18" s="10" t="s">
        <v>13</v>
      </c>
      <c r="C18" s="45"/>
      <c r="D18" s="45"/>
    </row>
    <row r="19" spans="1:4" ht="12.75">
      <c r="A19" s="18" t="s">
        <v>14</v>
      </c>
      <c r="C19" s="45">
        <v>156652</v>
      </c>
      <c r="D19" s="45">
        <v>222066</v>
      </c>
    </row>
    <row r="20" spans="1:4" ht="12.75">
      <c r="A20" s="18" t="s">
        <v>15</v>
      </c>
      <c r="C20" s="45">
        <v>15200</v>
      </c>
      <c r="D20" s="45">
        <v>21580</v>
      </c>
    </row>
    <row r="21" spans="1:4" ht="12.75">
      <c r="A21" s="18" t="s">
        <v>16</v>
      </c>
      <c r="C21" s="45">
        <v>37524</v>
      </c>
      <c r="D21" s="45">
        <v>33577</v>
      </c>
    </row>
    <row r="22" spans="1:4" ht="12.75">
      <c r="A22" s="18" t="s">
        <v>62</v>
      </c>
      <c r="C22" s="45">
        <v>4636</v>
      </c>
      <c r="D22" s="45">
        <v>949</v>
      </c>
    </row>
    <row r="23" spans="1:4" ht="12.75">
      <c r="A23" s="18" t="s">
        <v>58</v>
      </c>
      <c r="C23" s="45">
        <v>35008</v>
      </c>
      <c r="D23" s="45">
        <v>73781</v>
      </c>
    </row>
    <row r="24" spans="1:4" ht="12.75">
      <c r="A24" s="18" t="s">
        <v>110</v>
      </c>
      <c r="C24" s="47">
        <v>218598</v>
      </c>
      <c r="D24" s="45">
        <v>97462</v>
      </c>
    </row>
    <row r="25" spans="3:4" s="10" customFormat="1" ht="12.75">
      <c r="C25" s="17">
        <f>SUM(C19:C24)</f>
        <v>467618</v>
      </c>
      <c r="D25" s="17">
        <f>SUM(D19:D24)</f>
        <v>449415</v>
      </c>
    </row>
    <row r="26" spans="1:4" ht="12.75">
      <c r="A26" s="42"/>
      <c r="C26" s="58"/>
      <c r="D26" s="58"/>
    </row>
    <row r="27" spans="1:4" s="10" customFormat="1" ht="13.5" thickBot="1">
      <c r="A27" s="10" t="s">
        <v>17</v>
      </c>
      <c r="C27" s="11">
        <f>SUM(C16,C25)</f>
        <v>601762</v>
      </c>
      <c r="D27" s="11">
        <f>SUM(D16,D25)</f>
        <v>568890</v>
      </c>
    </row>
    <row r="28" spans="3:4" ht="24.75" customHeight="1" thickTop="1">
      <c r="C28" s="45"/>
      <c r="D28" s="45"/>
    </row>
    <row r="29" spans="1:4" ht="12.75">
      <c r="A29" s="16" t="s">
        <v>18</v>
      </c>
      <c r="C29" s="45"/>
      <c r="D29" s="45"/>
    </row>
    <row r="30" spans="1:4" ht="12.75">
      <c r="A30" s="10" t="s">
        <v>63</v>
      </c>
      <c r="C30" s="45"/>
      <c r="D30" s="45"/>
    </row>
    <row r="31" spans="1:4" ht="12.75">
      <c r="A31" s="18" t="s">
        <v>19</v>
      </c>
      <c r="C31" s="45">
        <v>65791</v>
      </c>
      <c r="D31" s="45">
        <v>65791</v>
      </c>
    </row>
    <row r="32" spans="1:4" ht="12.75">
      <c r="A32" s="18" t="s">
        <v>20</v>
      </c>
      <c r="C32" s="45">
        <v>3772</v>
      </c>
      <c r="D32" s="45">
        <v>3772</v>
      </c>
    </row>
    <row r="33" spans="1:4" ht="12.75">
      <c r="A33" s="18" t="s">
        <v>21</v>
      </c>
      <c r="C33" s="45">
        <f>2128+55</f>
        <v>2183</v>
      </c>
      <c r="D33" s="45">
        <f>-1051+55</f>
        <v>-996</v>
      </c>
    </row>
    <row r="34" spans="1:4" ht="12.75">
      <c r="A34" s="18" t="s">
        <v>22</v>
      </c>
      <c r="C34" s="47">
        <f>'Changes in Equity'!G19</f>
        <v>331798</v>
      </c>
      <c r="D34" s="45">
        <v>319097</v>
      </c>
    </row>
    <row r="35" spans="1:4" s="10" customFormat="1" ht="12.75">
      <c r="A35" s="10" t="s">
        <v>23</v>
      </c>
      <c r="C35" s="17">
        <f>SUM(C31:C34)</f>
        <v>403544</v>
      </c>
      <c r="D35" s="17">
        <f>SUM(D31:D34)</f>
        <v>387664</v>
      </c>
    </row>
    <row r="36" spans="3:4" ht="12.75">
      <c r="C36" s="45"/>
      <c r="D36" s="45"/>
    </row>
    <row r="37" spans="1:4" ht="12.75">
      <c r="A37" s="10" t="s">
        <v>64</v>
      </c>
      <c r="C37" s="45"/>
      <c r="D37" s="45"/>
    </row>
    <row r="38" spans="1:4" ht="12.75">
      <c r="A38" s="18" t="s">
        <v>77</v>
      </c>
      <c r="C38" s="45">
        <v>13275</v>
      </c>
      <c r="D38" s="45">
        <v>15014</v>
      </c>
    </row>
    <row r="39" spans="1:4" ht="12.75">
      <c r="A39" s="18" t="s">
        <v>78</v>
      </c>
      <c r="C39" s="45">
        <v>5307</v>
      </c>
      <c r="D39" s="45">
        <v>5034</v>
      </c>
    </row>
    <row r="40" spans="1:4" ht="12.75">
      <c r="A40" s="18" t="s">
        <v>25</v>
      </c>
      <c r="C40" s="45">
        <v>2538</v>
      </c>
      <c r="D40" s="45">
        <v>2353</v>
      </c>
    </row>
    <row r="41" spans="3:4" s="10" customFormat="1" ht="12.75">
      <c r="C41" s="17">
        <f>SUM(C38:C40)</f>
        <v>21120</v>
      </c>
      <c r="D41" s="17">
        <f>SUM(D38:D40)</f>
        <v>22401</v>
      </c>
    </row>
    <row r="42" spans="3:4" ht="12.75">
      <c r="C42" s="45"/>
      <c r="D42" s="45"/>
    </row>
    <row r="43" spans="1:4" ht="12.75">
      <c r="A43" s="10" t="s">
        <v>26</v>
      </c>
      <c r="C43" s="45"/>
      <c r="D43" s="45"/>
    </row>
    <row r="44" spans="1:4" ht="12.75">
      <c r="A44" s="18" t="s">
        <v>24</v>
      </c>
      <c r="C44" s="45">
        <v>3803</v>
      </c>
      <c r="D44" s="45">
        <v>3680</v>
      </c>
    </row>
    <row r="45" spans="1:4" ht="12.75">
      <c r="A45" s="18" t="s">
        <v>78</v>
      </c>
      <c r="C45" s="45">
        <v>311</v>
      </c>
      <c r="D45" s="45">
        <v>293</v>
      </c>
    </row>
    <row r="46" spans="1:4" ht="12.75">
      <c r="A46" s="18" t="s">
        <v>77</v>
      </c>
      <c r="C46" s="45">
        <v>40845</v>
      </c>
      <c r="D46" s="45">
        <v>37193</v>
      </c>
    </row>
    <row r="47" spans="1:4" ht="12.75">
      <c r="A47" s="18" t="s">
        <v>27</v>
      </c>
      <c r="C47" s="45">
        <v>91978</v>
      </c>
      <c r="D47" s="45">
        <v>81919</v>
      </c>
    </row>
    <row r="48" spans="1:4" ht="12.75">
      <c r="A48" s="18" t="s">
        <v>28</v>
      </c>
      <c r="C48" s="45">
        <v>28246</v>
      </c>
      <c r="D48" s="45">
        <f>23985+4277</f>
        <v>28262</v>
      </c>
    </row>
    <row r="49" spans="1:4" ht="12.75">
      <c r="A49" s="18" t="s">
        <v>29</v>
      </c>
      <c r="C49" s="45">
        <v>11915</v>
      </c>
      <c r="D49" s="45">
        <v>7478</v>
      </c>
    </row>
    <row r="50" spans="1:4" ht="12.75">
      <c r="A50" s="18" t="s">
        <v>30</v>
      </c>
      <c r="C50" s="47">
        <v>0</v>
      </c>
      <c r="D50" s="45">
        <v>0</v>
      </c>
    </row>
    <row r="51" spans="3:4" s="10" customFormat="1" ht="12.75">
      <c r="C51" s="17">
        <f>SUM(C44:C50)</f>
        <v>177098</v>
      </c>
      <c r="D51" s="17">
        <f>SUM(D44:D50)</f>
        <v>158825</v>
      </c>
    </row>
    <row r="52" spans="3:4" s="10" customFormat="1" ht="6" customHeight="1">
      <c r="C52" s="17"/>
      <c r="D52" s="17"/>
    </row>
    <row r="53" spans="1:4" s="10" customFormat="1" ht="12.75">
      <c r="A53" s="10" t="s">
        <v>31</v>
      </c>
      <c r="C53" s="17">
        <f>SUM(C41,C51)</f>
        <v>198218</v>
      </c>
      <c r="D53" s="17">
        <f>SUM(D41,D51)</f>
        <v>181226</v>
      </c>
    </row>
    <row r="54" spans="3:4" s="10" customFormat="1" ht="9.75" customHeight="1">
      <c r="C54" s="29"/>
      <c r="D54" s="29"/>
    </row>
    <row r="55" spans="1:4" s="10" customFormat="1" ht="13.5" thickBot="1">
      <c r="A55" s="10" t="s">
        <v>79</v>
      </c>
      <c r="C55" s="11">
        <f>C53+C35</f>
        <v>601762</v>
      </c>
      <c r="D55" s="11">
        <f>D53+D35</f>
        <v>568890</v>
      </c>
    </row>
    <row r="56" spans="3:4" ht="13.5" thickTop="1">
      <c r="C56" s="46">
        <f>C55-C27</f>
        <v>0</v>
      </c>
      <c r="D56" s="46">
        <f>D55-D27</f>
        <v>0</v>
      </c>
    </row>
    <row r="57" spans="1:4" ht="12.75">
      <c r="A57" s="10" t="s">
        <v>34</v>
      </c>
      <c r="C57" s="91">
        <f>(C35/657909.5)</f>
        <v>0.613373115907279</v>
      </c>
      <c r="D57" s="91">
        <f>(D35/657909.5)</f>
        <v>0.5892360575428688</v>
      </c>
    </row>
    <row r="58" ht="12.75">
      <c r="D58" s="45"/>
    </row>
    <row r="59" spans="3:4" ht="12.75">
      <c r="C59" s="45">
        <f>C55-C27</f>
        <v>0</v>
      </c>
      <c r="D59" s="45"/>
    </row>
    <row r="60" spans="1:4" ht="12.75">
      <c r="A60" s="26"/>
      <c r="D60" s="45"/>
    </row>
    <row r="61" ht="12.75">
      <c r="D61" s="45"/>
    </row>
    <row r="62" spans="1:4" ht="41.25" customHeight="1">
      <c r="A62" s="103" t="s">
        <v>114</v>
      </c>
      <c r="B62" s="103"/>
      <c r="C62" s="103"/>
      <c r="D62" s="103"/>
    </row>
    <row r="63" ht="12.75">
      <c r="D63" s="45"/>
    </row>
    <row r="64" ht="12.75">
      <c r="D64" s="45"/>
    </row>
    <row r="65" ht="12.75">
      <c r="D65" s="45"/>
    </row>
    <row r="66" ht="12.75">
      <c r="D66" s="45"/>
    </row>
    <row r="67" ht="12.75">
      <c r="D67" s="45"/>
    </row>
  </sheetData>
  <sheetProtection/>
  <mergeCells count="1">
    <mergeCell ref="A62:D62"/>
  </mergeCells>
  <conditionalFormatting sqref="C56:D56">
    <cfRule type="cellIs" priority="1" dxfId="2" operator="equal" stopIfTrue="1">
      <formula>0</formula>
    </cfRule>
  </conditionalFormatting>
  <printOptions horizontalCentered="1" verticalCentered="1"/>
  <pageMargins left="0.3937007874015748" right="0" top="0.5118110236220472" bottom="0.7874015748031497" header="0.35433070866141736" footer="0.31496062992125984"/>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AT42"/>
  <sheetViews>
    <sheetView zoomScalePageLayoutView="0" workbookViewId="0" topLeftCell="A1">
      <pane xSplit="2" ySplit="8" topLeftCell="C9" activePane="bottomRight" state="frozen"/>
      <selection pane="topLeft" activeCell="A1" sqref="A1"/>
      <selection pane="topRight" activeCell="A1" sqref="A1"/>
      <selection pane="bottomLeft" activeCell="A1" sqref="A1"/>
      <selection pane="bottomRight" activeCell="H19" sqref="H19"/>
    </sheetView>
  </sheetViews>
  <sheetFormatPr defaultColWidth="9.33203125" defaultRowHeight="12.75"/>
  <cols>
    <col min="1" max="1" width="28.33203125" style="18" customWidth="1"/>
    <col min="2" max="2" width="5.33203125" style="18" bestFit="1" customWidth="1"/>
    <col min="3" max="7" width="20.33203125" style="46" customWidth="1"/>
    <col min="8" max="8" width="20.33203125" style="3" customWidth="1"/>
    <col min="9" max="9" width="10.16015625" style="46" bestFit="1" customWidth="1"/>
    <col min="10" max="46" width="9.33203125" style="46" customWidth="1"/>
    <col min="47" max="16384" width="9.33203125" style="18" customWidth="1"/>
  </cols>
  <sheetData>
    <row r="1" spans="1:8" ht="16.5">
      <c r="A1" s="1" t="s">
        <v>32</v>
      </c>
      <c r="B1" s="2"/>
      <c r="H1" s="4" t="str">
        <f>'Income Stt'!G1</f>
        <v>Date : 19 · 05 · 2015</v>
      </c>
    </row>
    <row r="2" spans="1:2" ht="13.5">
      <c r="A2" s="5" t="s">
        <v>60</v>
      </c>
      <c r="B2" s="2"/>
    </row>
    <row r="3" spans="1:2" ht="13.5">
      <c r="A3" s="5" t="s">
        <v>124</v>
      </c>
      <c r="B3" s="2"/>
    </row>
    <row r="5" spans="3:46" s="52" customFormat="1" ht="12.75">
      <c r="C5" s="104" t="s">
        <v>86</v>
      </c>
      <c r="D5" s="104"/>
      <c r="E5" s="104"/>
      <c r="F5" s="104"/>
      <c r="G5" s="104"/>
      <c r="H5" s="105" t="s">
        <v>87</v>
      </c>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row>
    <row r="6" spans="3:46" s="52" customFormat="1" ht="12.75">
      <c r="C6" s="2"/>
      <c r="D6" s="101" t="s">
        <v>88</v>
      </c>
      <c r="E6" s="101"/>
      <c r="F6" s="101"/>
      <c r="G6" s="6" t="s">
        <v>33</v>
      </c>
      <c r="H6" s="10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row>
    <row r="7" spans="2:46" s="56" customFormat="1" ht="25.5">
      <c r="B7" s="7"/>
      <c r="C7" s="8" t="s">
        <v>19</v>
      </c>
      <c r="D7" s="8" t="s">
        <v>20</v>
      </c>
      <c r="E7" s="8" t="s">
        <v>108</v>
      </c>
      <c r="F7" s="8" t="s">
        <v>85</v>
      </c>
      <c r="G7" s="8" t="s">
        <v>22</v>
      </c>
      <c r="H7" s="105"/>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row>
    <row r="8" spans="3:46" s="52" customFormat="1" ht="12.75">
      <c r="C8" s="6" t="s">
        <v>1</v>
      </c>
      <c r="D8" s="6" t="s">
        <v>1</v>
      </c>
      <c r="E8" s="6" t="s">
        <v>1</v>
      </c>
      <c r="F8" s="6" t="s">
        <v>1</v>
      </c>
      <c r="G8" s="6" t="s">
        <v>1</v>
      </c>
      <c r="H8" s="6" t="s">
        <v>1</v>
      </c>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row>
    <row r="9" spans="1:46" s="54" customFormat="1" ht="12.75">
      <c r="A9" s="35" t="s">
        <v>113</v>
      </c>
      <c r="C9" s="58">
        <f>C33</f>
        <v>65791</v>
      </c>
      <c r="D9" s="58">
        <f>D33</f>
        <v>3772</v>
      </c>
      <c r="E9" s="58">
        <v>55</v>
      </c>
      <c r="F9" s="58">
        <v>-1051</v>
      </c>
      <c r="G9" s="58">
        <v>319097</v>
      </c>
      <c r="H9" s="36">
        <f>SUM(C9:G9)</f>
        <v>387664</v>
      </c>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row>
    <row r="10" spans="1:46" s="54" customFormat="1" ht="5.25" customHeight="1">
      <c r="A10" s="35"/>
      <c r="C10" s="58"/>
      <c r="D10" s="58"/>
      <c r="E10" s="58"/>
      <c r="F10" s="58"/>
      <c r="G10" s="58"/>
      <c r="H10" s="36"/>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row>
    <row r="11" spans="1:46" s="63" customFormat="1" ht="12.75">
      <c r="A11" s="37" t="s">
        <v>80</v>
      </c>
      <c r="B11" s="60"/>
      <c r="C11" s="61">
        <v>0</v>
      </c>
      <c r="D11" s="61">
        <v>0</v>
      </c>
      <c r="E11" s="61">
        <v>0</v>
      </c>
      <c r="F11" s="61">
        <v>0</v>
      </c>
      <c r="G11" s="61">
        <f>'Income Stt'!F30</f>
        <v>62045</v>
      </c>
      <c r="H11" s="20">
        <f>SUM(C11:G11)</f>
        <v>62045</v>
      </c>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row>
    <row r="12" spans="1:46" s="63" customFormat="1" ht="12.75">
      <c r="A12" s="71" t="s">
        <v>49</v>
      </c>
      <c r="B12" s="65"/>
      <c r="C12" s="53">
        <v>0</v>
      </c>
      <c r="D12" s="53">
        <v>0</v>
      </c>
      <c r="E12" s="53">
        <v>0</v>
      </c>
      <c r="F12" s="53">
        <f>'Income Stt'!F26</f>
        <v>3179</v>
      </c>
      <c r="G12" s="53">
        <v>0</v>
      </c>
      <c r="H12" s="31">
        <f>SUM(C12:G12)</f>
        <v>3179</v>
      </c>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row>
    <row r="13" spans="1:46" s="73" customFormat="1" ht="12.75">
      <c r="A13" s="72" t="s">
        <v>81</v>
      </c>
      <c r="C13" s="39">
        <f aca="true" t="shared" si="0" ref="C13:H13">SUM(C11:C12)</f>
        <v>0</v>
      </c>
      <c r="D13" s="39">
        <f t="shared" si="0"/>
        <v>0</v>
      </c>
      <c r="E13" s="39">
        <f t="shared" si="0"/>
        <v>0</v>
      </c>
      <c r="F13" s="39">
        <f>SUM(F11:F12)</f>
        <v>3179</v>
      </c>
      <c r="G13" s="39">
        <f t="shared" si="0"/>
        <v>62045</v>
      </c>
      <c r="H13" s="39">
        <f t="shared" si="0"/>
        <v>65224</v>
      </c>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row>
    <row r="14" spans="1:46" s="63" customFormat="1" ht="12.75">
      <c r="A14" s="70"/>
      <c r="C14" s="64"/>
      <c r="D14" s="64"/>
      <c r="E14" s="64"/>
      <c r="F14" s="64"/>
      <c r="G14" s="64"/>
      <c r="H14" s="39"/>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row>
    <row r="15" spans="1:46" s="63" customFormat="1" ht="12.75">
      <c r="A15" s="72" t="s">
        <v>82</v>
      </c>
      <c r="C15" s="64"/>
      <c r="D15" s="64"/>
      <c r="E15" s="64"/>
      <c r="F15" s="64"/>
      <c r="G15" s="64"/>
      <c r="H15" s="39"/>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row>
    <row r="16" spans="1:46" s="63" customFormat="1" ht="12.75">
      <c r="A16" s="75" t="s">
        <v>69</v>
      </c>
      <c r="B16" s="76"/>
      <c r="C16" s="77">
        <v>0</v>
      </c>
      <c r="D16" s="77">
        <v>0</v>
      </c>
      <c r="E16" s="77">
        <v>0</v>
      </c>
      <c r="F16" s="77">
        <v>0</v>
      </c>
      <c r="G16" s="77">
        <f>-16448-16448-16448</f>
        <v>-49344</v>
      </c>
      <c r="H16" s="78">
        <f>SUM(C16:G16)</f>
        <v>-49344</v>
      </c>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row>
    <row r="17" spans="1:46" s="63" customFormat="1" ht="25.5">
      <c r="A17" s="72" t="s">
        <v>83</v>
      </c>
      <c r="C17" s="39">
        <f>C16</f>
        <v>0</v>
      </c>
      <c r="D17" s="39">
        <f>D16</f>
        <v>0</v>
      </c>
      <c r="E17" s="39">
        <v>0</v>
      </c>
      <c r="F17" s="39">
        <f>F16</f>
        <v>0</v>
      </c>
      <c r="G17" s="39">
        <f>G16</f>
        <v>-49344</v>
      </c>
      <c r="H17" s="39">
        <f>H16</f>
        <v>-49344</v>
      </c>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row>
    <row r="18" spans="1:46" s="63" customFormat="1" ht="8.25" customHeight="1">
      <c r="A18" s="66"/>
      <c r="C18" s="64"/>
      <c r="D18" s="64"/>
      <c r="E18" s="64"/>
      <c r="F18" s="64"/>
      <c r="G18" s="64"/>
      <c r="H18" s="39"/>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row>
    <row r="19" spans="1:46" s="54" customFormat="1" ht="13.5" thickBot="1">
      <c r="A19" s="35" t="s">
        <v>125</v>
      </c>
      <c r="C19" s="38">
        <f aca="true" t="shared" si="1" ref="C19:H19">C9+C13+C17</f>
        <v>65791</v>
      </c>
      <c r="D19" s="38">
        <f t="shared" si="1"/>
        <v>3772</v>
      </c>
      <c r="E19" s="38">
        <f t="shared" si="1"/>
        <v>55</v>
      </c>
      <c r="F19" s="38">
        <f t="shared" si="1"/>
        <v>2128</v>
      </c>
      <c r="G19" s="38">
        <f t="shared" si="1"/>
        <v>331798</v>
      </c>
      <c r="H19" s="38">
        <f t="shared" si="1"/>
        <v>403544</v>
      </c>
      <c r="I19" s="58"/>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row>
    <row r="20" ht="13.5" thickTop="1">
      <c r="H20" s="9">
        <f>H19-'Balance Sheet'!C35</f>
        <v>0</v>
      </c>
    </row>
    <row r="22" spans="1:46" s="54" customFormat="1" ht="12.75">
      <c r="A22" s="35" t="s">
        <v>107</v>
      </c>
      <c r="C22" s="58">
        <v>65791</v>
      </c>
      <c r="D22" s="58">
        <v>3772</v>
      </c>
      <c r="E22" s="58">
        <v>55</v>
      </c>
      <c r="F22" s="58">
        <v>-1236</v>
      </c>
      <c r="G22" s="58">
        <v>303844</v>
      </c>
      <c r="H22" s="36">
        <f>SUM(C22:G22)</f>
        <v>372226</v>
      </c>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row>
    <row r="23" spans="1:46" s="54" customFormat="1" ht="12.75" hidden="1">
      <c r="A23" s="54" t="s">
        <v>84</v>
      </c>
      <c r="C23" s="53">
        <v>0</v>
      </c>
      <c r="D23" s="53">
        <v>0</v>
      </c>
      <c r="E23" s="53"/>
      <c r="F23" s="53">
        <v>0</v>
      </c>
      <c r="G23" s="53">
        <v>0</v>
      </c>
      <c r="H23" s="97">
        <f>SUM(C23:G23)</f>
        <v>0</v>
      </c>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row>
    <row r="24" spans="1:46" s="54" customFormat="1" ht="6" customHeight="1">
      <c r="A24" s="35"/>
      <c r="C24" s="58"/>
      <c r="D24" s="58"/>
      <c r="E24" s="58"/>
      <c r="F24" s="58"/>
      <c r="G24" s="58"/>
      <c r="H24" s="36"/>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row>
    <row r="25" spans="1:46" s="63" customFormat="1" ht="12.75">
      <c r="A25" s="37" t="s">
        <v>80</v>
      </c>
      <c r="B25" s="60"/>
      <c r="C25" s="61">
        <v>0</v>
      </c>
      <c r="D25" s="61">
        <v>0</v>
      </c>
      <c r="E25" s="61">
        <v>0</v>
      </c>
      <c r="F25" s="61">
        <v>0</v>
      </c>
      <c r="G25" s="61">
        <f>'Income Stt'!G30</f>
        <v>77250</v>
      </c>
      <c r="H25" s="20">
        <f>SUM(C25:G25)</f>
        <v>77250</v>
      </c>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row>
    <row r="26" spans="1:46" s="63" customFormat="1" ht="12.75">
      <c r="A26" s="71" t="s">
        <v>49</v>
      </c>
      <c r="B26" s="65"/>
      <c r="C26" s="53">
        <v>0</v>
      </c>
      <c r="D26" s="53">
        <v>0</v>
      </c>
      <c r="E26" s="53">
        <v>0</v>
      </c>
      <c r="F26" s="53">
        <f>'Income Stt'!G26</f>
        <v>475</v>
      </c>
      <c r="G26" s="53">
        <v>0</v>
      </c>
      <c r="H26" s="31">
        <f>SUM(C26:G26)</f>
        <v>475</v>
      </c>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row>
    <row r="27" spans="1:46" s="63" customFormat="1" ht="12.75">
      <c r="A27" s="72" t="s">
        <v>81</v>
      </c>
      <c r="C27" s="39">
        <f aca="true" t="shared" si="2" ref="C27:H27">SUM(C25:C26)</f>
        <v>0</v>
      </c>
      <c r="D27" s="39">
        <f t="shared" si="2"/>
        <v>0</v>
      </c>
      <c r="E27" s="39">
        <f t="shared" si="2"/>
        <v>0</v>
      </c>
      <c r="F27" s="39">
        <f t="shared" si="2"/>
        <v>475</v>
      </c>
      <c r="G27" s="39">
        <f t="shared" si="2"/>
        <v>77250</v>
      </c>
      <c r="H27" s="39">
        <f t="shared" si="2"/>
        <v>77725</v>
      </c>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row>
    <row r="28" spans="1:46" s="63" customFormat="1" ht="12.75">
      <c r="A28" s="70"/>
      <c r="C28" s="64"/>
      <c r="D28" s="64"/>
      <c r="E28" s="64"/>
      <c r="F28" s="64"/>
      <c r="G28" s="64"/>
      <c r="H28" s="39"/>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row>
    <row r="29" spans="1:46" s="63" customFormat="1" ht="12.75">
      <c r="A29" s="72" t="s">
        <v>82</v>
      </c>
      <c r="C29" s="64"/>
      <c r="D29" s="64"/>
      <c r="E29" s="64"/>
      <c r="F29" s="64"/>
      <c r="G29" s="64"/>
      <c r="H29" s="39"/>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row>
    <row r="30" spans="1:46" s="63" customFormat="1" ht="12.75">
      <c r="A30" s="75" t="s">
        <v>69</v>
      </c>
      <c r="B30" s="76"/>
      <c r="C30" s="77">
        <v>0</v>
      </c>
      <c r="D30" s="77">
        <v>0</v>
      </c>
      <c r="E30" s="77">
        <v>0</v>
      </c>
      <c r="F30" s="77">
        <v>0</v>
      </c>
      <c r="G30" s="77">
        <f>-16448-26316-16448</f>
        <v>-59212</v>
      </c>
      <c r="H30" s="78">
        <f>SUM(C30:G30)</f>
        <v>-59212</v>
      </c>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row>
    <row r="31" spans="1:46" s="63" customFormat="1" ht="25.5">
      <c r="A31" s="72" t="s">
        <v>83</v>
      </c>
      <c r="C31" s="39">
        <f>C30</f>
        <v>0</v>
      </c>
      <c r="D31" s="39">
        <f>D30</f>
        <v>0</v>
      </c>
      <c r="E31" s="39">
        <v>0</v>
      </c>
      <c r="F31" s="39">
        <f>F30</f>
        <v>0</v>
      </c>
      <c r="G31" s="39">
        <f>G30</f>
        <v>-59212</v>
      </c>
      <c r="H31" s="39">
        <f>H30</f>
        <v>-59212</v>
      </c>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row>
    <row r="32" spans="1:46" s="63" customFormat="1" ht="7.5" customHeight="1">
      <c r="A32" s="98"/>
      <c r="C32" s="64"/>
      <c r="D32" s="64"/>
      <c r="E32" s="64"/>
      <c r="F32" s="64"/>
      <c r="G32" s="64"/>
      <c r="H32" s="36"/>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row>
    <row r="33" spans="1:46" s="54" customFormat="1" ht="13.5" thickBot="1">
      <c r="A33" s="35" t="s">
        <v>126</v>
      </c>
      <c r="C33" s="38">
        <f aca="true" t="shared" si="3" ref="C33:H33">C22+C27+C31</f>
        <v>65791</v>
      </c>
      <c r="D33" s="38">
        <f t="shared" si="3"/>
        <v>3772</v>
      </c>
      <c r="E33" s="38">
        <f t="shared" si="3"/>
        <v>55</v>
      </c>
      <c r="F33" s="38">
        <f t="shared" si="3"/>
        <v>-761</v>
      </c>
      <c r="G33" s="38">
        <f t="shared" si="3"/>
        <v>321882</v>
      </c>
      <c r="H33" s="38">
        <f t="shared" si="3"/>
        <v>390739</v>
      </c>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row>
    <row r="34" ht="13.5" thickTop="1"/>
    <row r="35" ht="12.75">
      <c r="H35" s="9"/>
    </row>
    <row r="39" spans="1:8" ht="32.25" customHeight="1">
      <c r="A39" s="103" t="s">
        <v>118</v>
      </c>
      <c r="B39" s="103"/>
      <c r="C39" s="103"/>
      <c r="D39" s="103"/>
      <c r="E39" s="103"/>
      <c r="F39" s="103"/>
      <c r="G39" s="103"/>
      <c r="H39" s="103"/>
    </row>
    <row r="40" ht="12.75">
      <c r="J40" s="46">
        <f>205+106-78</f>
        <v>233</v>
      </c>
    </row>
    <row r="41" ht="12.75">
      <c r="J41" s="46">
        <f>J40*4</f>
        <v>932</v>
      </c>
    </row>
    <row r="42" ht="12.75">
      <c r="J42" s="46">
        <v>695</v>
      </c>
    </row>
  </sheetData>
  <sheetProtection/>
  <mergeCells count="4">
    <mergeCell ref="D6:F6"/>
    <mergeCell ref="C5:G5"/>
    <mergeCell ref="H5:H7"/>
    <mergeCell ref="A39:H39"/>
  </mergeCells>
  <conditionalFormatting sqref="H20 H34">
    <cfRule type="cellIs" priority="1" dxfId="2" operator="equal" stopIfTrue="1">
      <formula>0</formula>
    </cfRule>
  </conditionalFormatting>
  <printOptions horizontalCentered="1" verticalCentered="1"/>
  <pageMargins left="0.5905511811023623" right="0" top="0.3937007874015748" bottom="0.1968503937007874" header="0.35433070866141736" footer="0.31496062992125984"/>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C64"/>
  <sheetViews>
    <sheetView zoomScalePageLayoutView="0" workbookViewId="0" topLeftCell="A41">
      <selection activeCell="A53" sqref="A53"/>
    </sheetView>
  </sheetViews>
  <sheetFormatPr defaultColWidth="9.33203125" defaultRowHeight="12.75"/>
  <cols>
    <col min="1" max="1" width="54.66015625" style="18" customWidth="1"/>
    <col min="2" max="2" width="3" style="52" customWidth="1"/>
    <col min="3" max="4" width="23.16015625" style="45" customWidth="1"/>
    <col min="5" max="16384" width="9.33203125" style="18" customWidth="1"/>
  </cols>
  <sheetData>
    <row r="1" spans="1:29" ht="16.5">
      <c r="A1" s="1" t="s">
        <v>32</v>
      </c>
      <c r="B1" s="2"/>
      <c r="D1" s="99" t="str">
        <f>'Income Stt'!G1</f>
        <v>Date : 19 · 05 · 2015</v>
      </c>
      <c r="E1" s="46"/>
      <c r="F1" s="46"/>
      <c r="G1" s="46"/>
      <c r="H1" s="46"/>
      <c r="I1" s="46"/>
      <c r="J1" s="46"/>
      <c r="K1" s="46"/>
      <c r="L1" s="46"/>
      <c r="M1" s="46"/>
      <c r="N1" s="46"/>
      <c r="O1" s="46"/>
      <c r="P1" s="46"/>
      <c r="Q1" s="46"/>
      <c r="R1" s="46"/>
      <c r="S1" s="46"/>
      <c r="T1" s="46"/>
      <c r="U1" s="46"/>
      <c r="V1" s="46"/>
      <c r="W1" s="46"/>
      <c r="X1" s="46"/>
      <c r="Y1" s="46"/>
      <c r="Z1" s="46"/>
      <c r="AA1" s="46"/>
      <c r="AB1" s="46"/>
      <c r="AC1" s="46"/>
    </row>
    <row r="2" spans="1:29" ht="13.5">
      <c r="A2" s="5" t="s">
        <v>61</v>
      </c>
      <c r="B2" s="2"/>
      <c r="E2" s="46"/>
      <c r="F2" s="46"/>
      <c r="G2" s="46"/>
      <c r="H2" s="46"/>
      <c r="I2" s="46"/>
      <c r="J2" s="46"/>
      <c r="K2" s="46"/>
      <c r="L2" s="46"/>
      <c r="M2" s="46"/>
      <c r="N2" s="46"/>
      <c r="O2" s="46"/>
      <c r="P2" s="46"/>
      <c r="Q2" s="46"/>
      <c r="R2" s="46"/>
      <c r="S2" s="46"/>
      <c r="T2" s="46"/>
      <c r="U2" s="46"/>
      <c r="V2" s="46"/>
      <c r="W2" s="46"/>
      <c r="X2" s="46"/>
      <c r="Y2" s="46"/>
      <c r="Z2" s="46"/>
      <c r="AA2" s="46"/>
      <c r="AB2" s="46"/>
      <c r="AC2" s="46"/>
    </row>
    <row r="3" spans="1:29" ht="13.5">
      <c r="A3" s="5" t="str">
        <f>'Changes in Equity'!A3</f>
        <v>FOR THE FINANCIAL PERIOD ENDED 31 MARCH 2015</v>
      </c>
      <c r="B3" s="2"/>
      <c r="E3" s="46"/>
      <c r="F3" s="46"/>
      <c r="G3" s="46"/>
      <c r="H3" s="46"/>
      <c r="I3" s="46"/>
      <c r="J3" s="46"/>
      <c r="K3" s="46"/>
      <c r="L3" s="46"/>
      <c r="M3" s="46"/>
      <c r="N3" s="46"/>
      <c r="O3" s="46"/>
      <c r="P3" s="46"/>
      <c r="Q3" s="46"/>
      <c r="R3" s="46"/>
      <c r="S3" s="46"/>
      <c r="T3" s="46"/>
      <c r="U3" s="46"/>
      <c r="V3" s="46"/>
      <c r="W3" s="46"/>
      <c r="X3" s="46"/>
      <c r="Y3" s="46"/>
      <c r="Z3" s="46"/>
      <c r="AA3" s="46"/>
      <c r="AB3" s="46"/>
      <c r="AC3" s="46"/>
    </row>
    <row r="5" spans="3:4" ht="12.75">
      <c r="C5" s="106" t="str">
        <f>'Income Stt'!F5</f>
        <v>9 months ended</v>
      </c>
      <c r="D5" s="106"/>
    </row>
    <row r="6" spans="2:4" ht="12.75">
      <c r="B6" s="2"/>
      <c r="C6" s="12">
        <f>'Income Stt'!F6</f>
        <v>42094</v>
      </c>
      <c r="D6" s="12">
        <f>'Income Stt'!G6</f>
        <v>41729</v>
      </c>
    </row>
    <row r="7" spans="3:4" ht="12.75">
      <c r="C7" s="19" t="s">
        <v>1</v>
      </c>
      <c r="D7" s="19" t="s">
        <v>1</v>
      </c>
    </row>
    <row r="8" ht="3.75" customHeight="1">
      <c r="D8" s="100"/>
    </row>
    <row r="9" ht="12.75">
      <c r="A9" s="10" t="s">
        <v>37</v>
      </c>
    </row>
    <row r="10" spans="1:4" ht="12.75">
      <c r="A10" s="18" t="s">
        <v>5</v>
      </c>
      <c r="C10" s="45">
        <f>'Income Stt'!F18</f>
        <v>89824</v>
      </c>
      <c r="D10" s="45">
        <f>'Income Stt'!G18</f>
        <v>106259</v>
      </c>
    </row>
    <row r="12" ht="12.75">
      <c r="A12" s="10" t="s">
        <v>38</v>
      </c>
    </row>
    <row r="13" spans="1:4" ht="12.75">
      <c r="A13" s="82" t="s">
        <v>94</v>
      </c>
      <c r="C13" s="45">
        <f>21465</f>
        <v>21465</v>
      </c>
      <c r="D13" s="45">
        <f>16105+513-427-33</f>
        <v>16158</v>
      </c>
    </row>
    <row r="14" spans="1:4" ht="12.75">
      <c r="A14" s="82" t="s">
        <v>89</v>
      </c>
      <c r="C14" s="45">
        <f>680</f>
        <v>680</v>
      </c>
      <c r="D14" s="45">
        <f>667</f>
        <v>667</v>
      </c>
    </row>
    <row r="15" spans="1:4" ht="12.75" hidden="1">
      <c r="A15" s="82" t="s">
        <v>90</v>
      </c>
      <c r="C15" s="45">
        <v>0</v>
      </c>
      <c r="D15" s="45">
        <v>0</v>
      </c>
    </row>
    <row r="16" spans="1:7" ht="12.75">
      <c r="A16" s="82" t="s">
        <v>91</v>
      </c>
      <c r="C16" s="45">
        <v>-1253</v>
      </c>
      <c r="D16" s="45">
        <v>-209</v>
      </c>
      <c r="G16" s="83"/>
    </row>
    <row r="17" spans="1:4" ht="12.75">
      <c r="A17" s="82" t="s">
        <v>43</v>
      </c>
      <c r="C17" s="45">
        <v>-2162</v>
      </c>
      <c r="D17" s="45">
        <v>-3408</v>
      </c>
    </row>
    <row r="18" spans="1:4" ht="12.75">
      <c r="A18" s="82" t="s">
        <v>92</v>
      </c>
      <c r="C18" s="45">
        <f>5</f>
        <v>5</v>
      </c>
      <c r="D18" s="45">
        <f>41.712</f>
        <v>41.712</v>
      </c>
    </row>
    <row r="19" spans="1:4" ht="25.5">
      <c r="A19" s="84" t="s">
        <v>116</v>
      </c>
      <c r="C19" s="45">
        <f>50</f>
        <v>50</v>
      </c>
      <c r="D19" s="45">
        <f>-64+12</f>
        <v>-52</v>
      </c>
    </row>
    <row r="20" spans="1:4" ht="12.75">
      <c r="A20" s="82" t="s">
        <v>41</v>
      </c>
      <c r="C20" s="45">
        <f>1730</f>
        <v>1730</v>
      </c>
      <c r="D20" s="45">
        <v>1240</v>
      </c>
    </row>
    <row r="21" spans="1:4" ht="12.75">
      <c r="A21" s="82" t="s">
        <v>109</v>
      </c>
      <c r="C21" s="45">
        <f>316</f>
        <v>316</v>
      </c>
      <c r="D21" s="45">
        <v>404</v>
      </c>
    </row>
    <row r="22" spans="1:4" ht="12.75">
      <c r="A22" s="82" t="s">
        <v>93</v>
      </c>
      <c r="C22" s="45">
        <f>-226+856</f>
        <v>630</v>
      </c>
      <c r="D22" s="45">
        <f>448+17</f>
        <v>465</v>
      </c>
    </row>
    <row r="23" spans="1:4" ht="12.75">
      <c r="A23" s="82" t="s">
        <v>117</v>
      </c>
      <c r="C23" s="45">
        <v>-24</v>
      </c>
      <c r="D23" s="45">
        <v>0</v>
      </c>
    </row>
    <row r="24" spans="1:4" ht="12.75">
      <c r="A24" s="82" t="s">
        <v>95</v>
      </c>
      <c r="C24" s="45">
        <f>4778</f>
        <v>4778</v>
      </c>
      <c r="D24" s="45">
        <v>5416</v>
      </c>
    </row>
    <row r="25" spans="1:4" ht="12.75">
      <c r="A25" s="82" t="s">
        <v>97</v>
      </c>
      <c r="C25" s="45">
        <f>102</f>
        <v>102</v>
      </c>
      <c r="D25" s="45">
        <v>-426</v>
      </c>
    </row>
    <row r="26" spans="1:4" ht="12.75">
      <c r="A26" s="82" t="s">
        <v>96</v>
      </c>
      <c r="C26" s="45">
        <f>3063</f>
        <v>3063</v>
      </c>
      <c r="D26" s="45">
        <v>1218</v>
      </c>
    </row>
    <row r="27" spans="3:4" ht="12.75">
      <c r="C27" s="47"/>
      <c r="D27" s="47"/>
    </row>
    <row r="28" spans="1:4" s="10" customFormat="1" ht="12.75">
      <c r="A28" s="10" t="s">
        <v>98</v>
      </c>
      <c r="B28" s="2"/>
      <c r="C28" s="9">
        <f>SUM(C10:C27)</f>
        <v>119204</v>
      </c>
      <c r="D28" s="9">
        <f>SUM(D10:D27)</f>
        <v>127773.712</v>
      </c>
    </row>
    <row r="30" spans="1:4" ht="12.75">
      <c r="A30" s="18" t="s">
        <v>14</v>
      </c>
      <c r="C30" s="45">
        <v>57471</v>
      </c>
      <c r="D30" s="45">
        <v>-90768</v>
      </c>
    </row>
    <row r="31" spans="1:4" ht="12.75">
      <c r="A31" s="18" t="s">
        <v>39</v>
      </c>
      <c r="C31" s="45">
        <f>2428</f>
        <v>2428</v>
      </c>
      <c r="D31" s="45">
        <v>-4469</v>
      </c>
    </row>
    <row r="32" spans="1:4" ht="12.75">
      <c r="A32" s="18" t="s">
        <v>40</v>
      </c>
      <c r="C32" s="45">
        <f>123-12+10054</f>
        <v>10165</v>
      </c>
      <c r="D32" s="45">
        <f>34101-1+195+1</f>
        <v>34296</v>
      </c>
    </row>
    <row r="33" spans="1:4" ht="12.75">
      <c r="A33" s="42"/>
      <c r="C33" s="53"/>
      <c r="D33" s="53"/>
    </row>
    <row r="34" spans="1:4" s="10" customFormat="1" ht="12.75">
      <c r="A34" s="10" t="s">
        <v>56</v>
      </c>
      <c r="B34" s="2"/>
      <c r="C34" s="9">
        <f>SUM(C28:C33)</f>
        <v>189268</v>
      </c>
      <c r="D34" s="9">
        <f>SUM(D28:D33)</f>
        <v>66832.712</v>
      </c>
    </row>
    <row r="36" spans="1:4" ht="12.75">
      <c r="A36" s="18" t="s">
        <v>99</v>
      </c>
      <c r="C36" s="45">
        <f>-C20</f>
        <v>-1730</v>
      </c>
      <c r="D36" s="45">
        <f>-D20</f>
        <v>-1240</v>
      </c>
    </row>
    <row r="37" spans="1:4" ht="12.75">
      <c r="A37" s="18" t="s">
        <v>100</v>
      </c>
      <c r="C37" s="45">
        <v>-26648</v>
      </c>
      <c r="D37" s="45">
        <v>-24105</v>
      </c>
    </row>
    <row r="38" spans="1:4" ht="12.75">
      <c r="A38" s="18" t="s">
        <v>127</v>
      </c>
      <c r="C38" s="45">
        <v>0</v>
      </c>
      <c r="D38" s="45">
        <v>712</v>
      </c>
    </row>
    <row r="40" spans="1:4" s="10" customFormat="1" ht="13.5" thickBot="1">
      <c r="A40" s="10" t="s">
        <v>101</v>
      </c>
      <c r="B40" s="2"/>
      <c r="C40" s="89">
        <f>SUM(C34:C39)</f>
        <v>160890</v>
      </c>
      <c r="D40" s="89">
        <f>SUM(D34:D39)</f>
        <v>42199.712</v>
      </c>
    </row>
    <row r="42" ht="12.75">
      <c r="A42" s="10" t="s">
        <v>42</v>
      </c>
    </row>
    <row r="43" spans="1:4" ht="25.5">
      <c r="A43" s="81" t="s">
        <v>102</v>
      </c>
      <c r="C43" s="45">
        <f>40000</f>
        <v>40000</v>
      </c>
      <c r="D43" s="45">
        <v>0</v>
      </c>
    </row>
    <row r="44" spans="1:4" ht="12.75">
      <c r="A44" s="81" t="s">
        <v>119</v>
      </c>
      <c r="C44" s="45">
        <f>243-25</f>
        <v>218</v>
      </c>
      <c r="D44" s="45">
        <v>7</v>
      </c>
    </row>
    <row r="45" spans="1:4" ht="12.75">
      <c r="A45" s="18" t="s">
        <v>103</v>
      </c>
      <c r="C45" s="45">
        <f>-C17</f>
        <v>2162</v>
      </c>
      <c r="D45" s="45">
        <f>-D17</f>
        <v>3408</v>
      </c>
    </row>
    <row r="46" spans="1:4" ht="12.75">
      <c r="A46" s="18" t="s">
        <v>104</v>
      </c>
      <c r="C46" s="45">
        <f>-409-37020+483</f>
        <v>-36946</v>
      </c>
      <c r="D46" s="45">
        <f>-30118-461+503+263</f>
        <v>-29813</v>
      </c>
    </row>
    <row r="48" spans="1:4" s="10" customFormat="1" ht="13.5" thickBot="1">
      <c r="A48" s="10" t="s">
        <v>120</v>
      </c>
      <c r="B48" s="2"/>
      <c r="C48" s="89">
        <f>SUM(C43:C47)</f>
        <v>5434</v>
      </c>
      <c r="D48" s="89">
        <f>SUM(D43:D47)</f>
        <v>-26398</v>
      </c>
    </row>
    <row r="50" ht="12.75">
      <c r="A50" s="10" t="s">
        <v>44</v>
      </c>
    </row>
    <row r="51" spans="1:4" ht="12.75">
      <c r="A51" s="18" t="s">
        <v>69</v>
      </c>
      <c r="C51" s="45">
        <f>'Changes in Equity'!G16</f>
        <v>-49344</v>
      </c>
      <c r="D51" s="45">
        <f>'Changes in Equity'!H30</f>
        <v>-59212</v>
      </c>
    </row>
    <row r="52" spans="1:4" ht="12.75">
      <c r="A52" s="18" t="s">
        <v>45</v>
      </c>
      <c r="C52" s="45">
        <f>133105-129491</f>
        <v>3614</v>
      </c>
      <c r="D52" s="45">
        <f>40751-27081</f>
        <v>13670</v>
      </c>
    </row>
    <row r="53" spans="1:5" ht="12.75">
      <c r="A53" s="18" t="s">
        <v>105</v>
      </c>
      <c r="C53" s="45">
        <f>-1866</f>
        <v>-1866</v>
      </c>
      <c r="D53" s="45">
        <v>-1823</v>
      </c>
      <c r="E53" s="45"/>
    </row>
    <row r="54" spans="1:4" ht="12.75">
      <c r="A54" s="18" t="s">
        <v>106</v>
      </c>
      <c r="C54" s="45">
        <v>-318</v>
      </c>
      <c r="D54" s="45">
        <v>-219</v>
      </c>
    </row>
    <row r="56" spans="1:4" s="10" customFormat="1" ht="13.5" thickBot="1">
      <c r="A56" s="10" t="s">
        <v>57</v>
      </c>
      <c r="B56" s="2"/>
      <c r="C56" s="89">
        <f>SUM(C51:C55)</f>
        <v>-47914</v>
      </c>
      <c r="D56" s="89">
        <f>SUM(D51:D55)</f>
        <v>-47584</v>
      </c>
    </row>
    <row r="58" spans="1:4" ht="12.75">
      <c r="A58" s="18" t="s">
        <v>59</v>
      </c>
      <c r="C58" s="45">
        <f>SUM(C40,C48,C56)</f>
        <v>118410</v>
      </c>
      <c r="D58" s="45">
        <f>SUM(D40,D48,D56)</f>
        <v>-31782.288</v>
      </c>
    </row>
    <row r="59" spans="1:4" ht="18" customHeight="1">
      <c r="A59" s="18" t="s">
        <v>46</v>
      </c>
      <c r="C59" s="47">
        <f>2726</f>
        <v>2726</v>
      </c>
      <c r="D59" s="47">
        <v>368</v>
      </c>
    </row>
    <row r="60" spans="2:4" s="10" customFormat="1" ht="12.75">
      <c r="B60" s="2"/>
      <c r="C60" s="9">
        <f>SUM(C58:C59)</f>
        <v>121136</v>
      </c>
      <c r="D60" s="9">
        <f>SUM(D58:D59)</f>
        <v>-31414.288</v>
      </c>
    </row>
    <row r="61" spans="1:4" ht="18" customHeight="1">
      <c r="A61" s="18" t="s">
        <v>47</v>
      </c>
      <c r="C61" s="45">
        <f>'Balance Sheet'!D24</f>
        <v>97462</v>
      </c>
      <c r="D61" s="45">
        <v>206226</v>
      </c>
    </row>
    <row r="62" spans="1:4" s="10" customFormat="1" ht="13.5" thickBot="1">
      <c r="A62" s="10" t="s">
        <v>48</v>
      </c>
      <c r="B62" s="2"/>
      <c r="C62" s="11">
        <f>SUM(C60:C61)</f>
        <v>218598</v>
      </c>
      <c r="D62" s="11">
        <f>SUM(D60:D61)</f>
        <v>174811.712</v>
      </c>
    </row>
    <row r="63" ht="13.5" thickTop="1">
      <c r="C63" s="46">
        <f>(C62-'Balance Sheet'!C24)</f>
        <v>0</v>
      </c>
    </row>
    <row r="64" spans="1:4" ht="51" customHeight="1">
      <c r="A64" s="107" t="s">
        <v>115</v>
      </c>
      <c r="B64" s="107"/>
      <c r="C64" s="107"/>
      <c r="D64" s="107"/>
    </row>
  </sheetData>
  <sheetProtection/>
  <mergeCells count="2">
    <mergeCell ref="C5:D5"/>
    <mergeCell ref="A64:D64"/>
  </mergeCells>
  <printOptions horizontalCentered="1" verticalCentered="1"/>
  <pageMargins left="0.5905511811023623" right="0" top="0.5118110236220472" bottom="0.7874015748031497" header="0.35433070866141736" footer="0.31496062992125984"/>
  <pageSetup fitToHeight="1" fitToWidth="1"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KHCHAN</cp:lastModifiedBy>
  <cp:lastPrinted>2015-05-19T01:58:28Z</cp:lastPrinted>
  <dcterms:created xsi:type="dcterms:W3CDTF">2006-11-03T10:09:35Z</dcterms:created>
  <dcterms:modified xsi:type="dcterms:W3CDTF">2015-05-19T06:28:31Z</dcterms:modified>
  <cp:category/>
  <cp:version/>
  <cp:contentType/>
  <cp:contentStatus/>
</cp:coreProperties>
</file>